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-120" yWindow="-120" windowWidth="15600" windowHeight="9240" firstSheet="10" activeTab="20"/>
  </bookViews>
  <sheets>
    <sheet name="2004" sheetId="10" r:id="rId1"/>
    <sheet name="2005" sheetId="9" r:id="rId2"/>
    <sheet name="2006" sheetId="8" r:id="rId3"/>
    <sheet name="2007" sheetId="7" r:id="rId4"/>
    <sheet name="2008" sheetId="6" r:id="rId5"/>
    <sheet name="2009" sheetId="5" r:id="rId6"/>
    <sheet name="2010" sheetId="4" r:id="rId7"/>
    <sheet name="2011" sheetId="3" r:id="rId8"/>
    <sheet name="2012" sheetId="1" r:id="rId9"/>
    <sheet name="2013" sheetId="11" r:id="rId10"/>
    <sheet name="2014" sheetId="12" r:id="rId11"/>
    <sheet name="2015" sheetId="13" r:id="rId12"/>
    <sheet name="2016" sheetId="14" r:id="rId13"/>
    <sheet name="2017" sheetId="15" r:id="rId14"/>
    <sheet name="2018" sheetId="16" r:id="rId15"/>
    <sheet name="2019" sheetId="17" r:id="rId16"/>
    <sheet name="2020" sheetId="18" r:id="rId17"/>
    <sheet name="2021" sheetId="19" r:id="rId18"/>
    <sheet name="2022" sheetId="20" r:id="rId19"/>
    <sheet name="2023" sheetId="21" r:id="rId20"/>
    <sheet name="2024" sheetId="22" r:id="rId21"/>
    <sheet name="IVA" sheetId="2" r:id="rId2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22" l="1" a="1"/>
  <c r="B30" i="22" s="1"/>
  <c r="B29" i="22"/>
  <c r="B27" i="22"/>
  <c r="A27" i="22"/>
  <c r="B26" i="22" a="1"/>
  <c r="B26" i="22" s="1"/>
  <c r="B25" i="22"/>
  <c r="A25" i="22"/>
  <c r="B24" i="22" a="1"/>
  <c r="B24" i="22" s="1"/>
  <c r="B23" i="22"/>
  <c r="A23" i="22"/>
  <c r="B22" i="22" a="1"/>
  <c r="B22" i="22" s="1"/>
  <c r="B21" i="22"/>
  <c r="A21" i="22"/>
  <c r="B20" i="22" a="1"/>
  <c r="B20" i="22" s="1"/>
  <c r="B19" i="22"/>
  <c r="A19" i="22"/>
  <c r="B18" i="22" a="1"/>
  <c r="B18" i="22" s="1"/>
  <c r="B17" i="22"/>
  <c r="A17" i="22"/>
  <c r="B16" i="22" a="1"/>
  <c r="B16" i="22" s="1"/>
  <c r="B15" i="22"/>
  <c r="A15" i="22"/>
  <c r="B14" i="22" a="1"/>
  <c r="B14" i="22" s="1"/>
  <c r="B13" i="22"/>
  <c r="A13" i="22"/>
  <c r="B12" i="22" a="1"/>
  <c r="B12" i="22" s="1"/>
  <c r="B11" i="22"/>
  <c r="A11" i="22"/>
  <c r="B10" i="22" a="1"/>
  <c r="B10" i="22" s="1"/>
  <c r="B9" i="22"/>
  <c r="A9" i="22"/>
  <c r="B8" i="22" a="1"/>
  <c r="B8" i="22" s="1"/>
  <c r="B7" i="22"/>
  <c r="A7" i="22"/>
  <c r="B6" i="22" a="1"/>
  <c r="B6" i="22" s="1"/>
  <c r="B5" i="22"/>
  <c r="A5" i="22"/>
  <c r="B4" i="22" a="1"/>
  <c r="B4" i="22" s="1"/>
  <c r="E2" i="22"/>
  <c r="F2" i="22" s="1"/>
  <c r="G2" i="22" s="1"/>
  <c r="H2" i="22" s="1"/>
  <c r="I2" i="22" s="1"/>
  <c r="J2" i="22" s="1"/>
  <c r="K2" i="22" s="1"/>
  <c r="L2" i="22" s="1"/>
  <c r="M2" i="22" s="1"/>
  <c r="N2" i="22" s="1"/>
  <c r="O2" i="22" s="1"/>
  <c r="P2" i="22" s="1"/>
  <c r="Q2" i="22" s="1"/>
  <c r="R2" i="22" s="1"/>
  <c r="S2" i="22" s="1"/>
  <c r="T2" i="22" s="1"/>
  <c r="U2" i="22" s="1"/>
  <c r="V2" i="22" s="1"/>
  <c r="W2" i="22" s="1"/>
  <c r="X2" i="22" s="1"/>
  <c r="Y2" i="22" s="1"/>
  <c r="Z2" i="22" s="1"/>
  <c r="AA2" i="22" s="1"/>
  <c r="AB2" i="22" s="1"/>
  <c r="AC2" i="22" s="1"/>
  <c r="AD2" i="22" s="1"/>
  <c r="AE2" i="22" s="1"/>
  <c r="AF2" i="22" s="1"/>
  <c r="AG2" i="22" s="1"/>
  <c r="AH2" i="22" s="1"/>
  <c r="B30" i="21" a="1"/>
  <c r="B30" i="21" s="1"/>
  <c r="B29" i="21"/>
  <c r="B27" i="21"/>
  <c r="A27" i="21"/>
  <c r="B26" i="21" a="1"/>
  <c r="B26" i="21" s="1"/>
  <c r="B25" i="21"/>
  <c r="A25" i="21"/>
  <c r="B24" i="21" a="1"/>
  <c r="B24" i="21" s="1"/>
  <c r="B23" i="21"/>
  <c r="A23" i="21"/>
  <c r="B22" i="21" a="1"/>
  <c r="B22" i="21" s="1"/>
  <c r="B21" i="21"/>
  <c r="A21" i="21"/>
  <c r="B20" i="21" a="1"/>
  <c r="B20" i="21" s="1"/>
  <c r="B19" i="21"/>
  <c r="A19" i="21"/>
  <c r="B18" i="21" a="1"/>
  <c r="B18" i="21" s="1"/>
  <c r="B17" i="21"/>
  <c r="A17" i="21"/>
  <c r="B16" i="21" a="1"/>
  <c r="B16" i="21" s="1"/>
  <c r="B15" i="21"/>
  <c r="A15" i="21"/>
  <c r="B14" i="21" a="1"/>
  <c r="B14" i="21" s="1"/>
  <c r="B13" i="21"/>
  <c r="A13" i="21"/>
  <c r="B12" i="21" a="1"/>
  <c r="B12" i="21" s="1"/>
  <c r="B11" i="21"/>
  <c r="A11" i="21"/>
  <c r="B10" i="21" a="1"/>
  <c r="B10" i="21" s="1"/>
  <c r="B9" i="21"/>
  <c r="A9" i="21"/>
  <c r="B8" i="21" a="1"/>
  <c r="B8" i="21" s="1"/>
  <c r="B7" i="21"/>
  <c r="A7" i="21"/>
  <c r="B6" i="21" a="1"/>
  <c r="B6" i="21" s="1"/>
  <c r="B5" i="21"/>
  <c r="A5" i="21"/>
  <c r="B4" i="21" a="1"/>
  <c r="B4" i="21" s="1"/>
  <c r="E2" i="21"/>
  <c r="F2" i="21" s="1"/>
  <c r="G2" i="21" s="1"/>
  <c r="H2" i="21" s="1"/>
  <c r="I2" i="21" s="1"/>
  <c r="J2" i="21" s="1"/>
  <c r="K2" i="21" s="1"/>
  <c r="L2" i="21" s="1"/>
  <c r="M2" i="21" s="1"/>
  <c r="N2" i="21" s="1"/>
  <c r="O2" i="21" s="1"/>
  <c r="P2" i="21" s="1"/>
  <c r="Q2" i="21" s="1"/>
  <c r="R2" i="21" s="1"/>
  <c r="S2" i="21" s="1"/>
  <c r="T2" i="21" s="1"/>
  <c r="U2" i="21" s="1"/>
  <c r="V2" i="21" s="1"/>
  <c r="W2" i="21" s="1"/>
  <c r="X2" i="21" s="1"/>
  <c r="Y2" i="21" s="1"/>
  <c r="Z2" i="21" s="1"/>
  <c r="AA2" i="21" s="1"/>
  <c r="AB2" i="21" s="1"/>
  <c r="AC2" i="21" s="1"/>
  <c r="AD2" i="21" s="1"/>
  <c r="AE2" i="21" s="1"/>
  <c r="AF2" i="21" s="1"/>
  <c r="AG2" i="21" s="1"/>
  <c r="AH2" i="21" s="1"/>
  <c r="B31" i="22" l="1"/>
  <c r="B31" i="21"/>
  <c r="B30" i="20" a="1"/>
  <c r="B30" i="20" s="1"/>
  <c r="B27" i="20"/>
  <c r="A27" i="20"/>
  <c r="B26" i="20" a="1"/>
  <c r="B26" i="20" s="1"/>
  <c r="B25" i="20"/>
  <c r="A25" i="20"/>
  <c r="B24" i="20" a="1"/>
  <c r="B24" i="20" s="1"/>
  <c r="B23" i="20"/>
  <c r="A23" i="20"/>
  <c r="B22" i="20" a="1"/>
  <c r="B22" i="20" s="1"/>
  <c r="B21" i="20"/>
  <c r="A21" i="20"/>
  <c r="B20" i="20" a="1"/>
  <c r="B20" i="20" s="1"/>
  <c r="B19" i="20"/>
  <c r="A19" i="20"/>
  <c r="B18" i="20" a="1"/>
  <c r="B18" i="20" s="1"/>
  <c r="B17" i="20"/>
  <c r="A17" i="20"/>
  <c r="B16" i="20" a="1"/>
  <c r="B16" i="20" s="1"/>
  <c r="B15" i="20"/>
  <c r="A15" i="20"/>
  <c r="B14" i="20" a="1"/>
  <c r="B14" i="20" s="1"/>
  <c r="B13" i="20"/>
  <c r="B12" i="20" a="1"/>
  <c r="B12" i="20" s="1"/>
  <c r="B11" i="20"/>
  <c r="A11" i="20"/>
  <c r="B10" i="20" a="1"/>
  <c r="B10" i="20" s="1"/>
  <c r="B9" i="20"/>
  <c r="A9" i="20"/>
  <c r="B8" i="20" a="1"/>
  <c r="B8" i="20" s="1"/>
  <c r="B7" i="20"/>
  <c r="A7" i="20"/>
  <c r="B6" i="20" a="1"/>
  <c r="B6" i="20" s="1"/>
  <c r="B5" i="20"/>
  <c r="A5" i="20"/>
  <c r="B4" i="20" a="1"/>
  <c r="B4" i="20" s="1"/>
  <c r="E2" i="20"/>
  <c r="F2" i="20" s="1"/>
  <c r="G2" i="20" s="1"/>
  <c r="H2" i="20" s="1"/>
  <c r="I2" i="20" s="1"/>
  <c r="J2" i="20" s="1"/>
  <c r="K2" i="20" s="1"/>
  <c r="L2" i="20" s="1"/>
  <c r="M2" i="20" s="1"/>
  <c r="N2" i="20" s="1"/>
  <c r="O2" i="20" s="1"/>
  <c r="P2" i="20" s="1"/>
  <c r="Q2" i="20" s="1"/>
  <c r="R2" i="20" s="1"/>
  <c r="S2" i="20" s="1"/>
  <c r="T2" i="20" s="1"/>
  <c r="U2" i="20" s="1"/>
  <c r="V2" i="20" s="1"/>
  <c r="W2" i="20" s="1"/>
  <c r="X2" i="20" s="1"/>
  <c r="Y2" i="20" s="1"/>
  <c r="Z2" i="20" s="1"/>
  <c r="AA2" i="20" s="1"/>
  <c r="AB2" i="20" s="1"/>
  <c r="AC2" i="20" s="1"/>
  <c r="AD2" i="20" s="1"/>
  <c r="AE2" i="20" s="1"/>
  <c r="AF2" i="20" s="1"/>
  <c r="AG2" i="20" s="1"/>
  <c r="AH2" i="20" s="1"/>
  <c r="B29" i="20" l="1"/>
  <c r="B31" i="20" s="1"/>
  <c r="A13" i="20"/>
  <c r="Z15" i="19"/>
  <c r="AC12" i="19" l="1"/>
  <c r="B10" i="19" l="1" a="1"/>
  <c r="B10" i="19" s="1"/>
  <c r="B30" i="19" l="1" a="1"/>
  <c r="B30" i="19" s="1"/>
  <c r="B29" i="19"/>
  <c r="B27" i="19"/>
  <c r="A27" i="19"/>
  <c r="B26" i="19" a="1"/>
  <c r="B26" i="19" s="1"/>
  <c r="B25" i="19"/>
  <c r="A25" i="19"/>
  <c r="B24" i="19" a="1"/>
  <c r="B24" i="19" s="1"/>
  <c r="B23" i="19"/>
  <c r="A23" i="19"/>
  <c r="B22" i="19" a="1"/>
  <c r="B22" i="19" s="1"/>
  <c r="B21" i="19"/>
  <c r="A21" i="19"/>
  <c r="B20" i="19" a="1"/>
  <c r="B20" i="19" s="1"/>
  <c r="B19" i="19"/>
  <c r="A19" i="19"/>
  <c r="B18" i="19" a="1"/>
  <c r="B18" i="19" s="1"/>
  <c r="B17" i="19"/>
  <c r="A17" i="19"/>
  <c r="B16" i="19" a="1"/>
  <c r="B16" i="19" s="1"/>
  <c r="B15" i="19"/>
  <c r="A15" i="19"/>
  <c r="B14" i="19" a="1"/>
  <c r="B14" i="19" s="1"/>
  <c r="B13" i="19"/>
  <c r="A13" i="19"/>
  <c r="B12" i="19" a="1"/>
  <c r="B12" i="19" s="1"/>
  <c r="B11" i="19"/>
  <c r="A11" i="19"/>
  <c r="B9" i="19"/>
  <c r="A9" i="19"/>
  <c r="B8" i="19" a="1"/>
  <c r="B8" i="19" s="1"/>
  <c r="B7" i="19"/>
  <c r="A7" i="19"/>
  <c r="B6" i="19" a="1"/>
  <c r="B6" i="19" s="1"/>
  <c r="B5" i="19"/>
  <c r="A5" i="19"/>
  <c r="B4" i="19" a="1"/>
  <c r="B4" i="19" s="1"/>
  <c r="E2" i="19"/>
  <c r="F2" i="19" s="1"/>
  <c r="G2" i="19" s="1"/>
  <c r="H2" i="19" s="1"/>
  <c r="I2" i="19" s="1"/>
  <c r="J2" i="19" s="1"/>
  <c r="K2" i="19" s="1"/>
  <c r="L2" i="19" s="1"/>
  <c r="M2" i="19" s="1"/>
  <c r="N2" i="19" s="1"/>
  <c r="O2" i="19" s="1"/>
  <c r="P2" i="19" s="1"/>
  <c r="Q2" i="19" s="1"/>
  <c r="R2" i="19" s="1"/>
  <c r="S2" i="19" s="1"/>
  <c r="T2" i="19" s="1"/>
  <c r="U2" i="19" s="1"/>
  <c r="V2" i="19" s="1"/>
  <c r="W2" i="19" s="1"/>
  <c r="X2" i="19" s="1"/>
  <c r="Y2" i="19" s="1"/>
  <c r="Z2" i="19" s="1"/>
  <c r="AA2" i="19" s="1"/>
  <c r="AB2" i="19" s="1"/>
  <c r="AC2" i="19" s="1"/>
  <c r="AD2" i="19" s="1"/>
  <c r="AE2" i="19" s="1"/>
  <c r="AF2" i="19" s="1"/>
  <c r="AG2" i="19" s="1"/>
  <c r="AH2" i="19" s="1"/>
  <c r="B31" i="19" l="1"/>
  <c r="B32" i="18"/>
  <c r="B30" i="18" l="1" a="1"/>
  <c r="B30" i="18" s="1"/>
  <c r="B29" i="18"/>
  <c r="B27" i="18"/>
  <c r="A27" i="18"/>
  <c r="B26" i="18" a="1"/>
  <c r="B26" i="18" s="1"/>
  <c r="B25" i="18"/>
  <c r="A25" i="18"/>
  <c r="B24" i="18" a="1"/>
  <c r="B24" i="18" s="1"/>
  <c r="B23" i="18"/>
  <c r="A23" i="18"/>
  <c r="B22" i="18" a="1"/>
  <c r="B22" i="18" s="1"/>
  <c r="B21" i="18"/>
  <c r="A21" i="18"/>
  <c r="B20" i="18" a="1"/>
  <c r="B20" i="18" s="1"/>
  <c r="B19" i="18"/>
  <c r="A19" i="18"/>
  <c r="B18" i="18" a="1"/>
  <c r="B18" i="18" s="1"/>
  <c r="B17" i="18"/>
  <c r="A17" i="18"/>
  <c r="B16" i="18" a="1"/>
  <c r="B16" i="18" s="1"/>
  <c r="B15" i="18"/>
  <c r="A15" i="18"/>
  <c r="B14" i="18" a="1"/>
  <c r="B14" i="18" s="1"/>
  <c r="B13" i="18"/>
  <c r="A13" i="18"/>
  <c r="B12" i="18" a="1"/>
  <c r="B12" i="18" s="1"/>
  <c r="B11" i="18"/>
  <c r="A11" i="18"/>
  <c r="B10" i="18" a="1"/>
  <c r="B10" i="18" s="1"/>
  <c r="B9" i="18"/>
  <c r="A9" i="18"/>
  <c r="B8" i="18" a="1"/>
  <c r="B8" i="18" s="1"/>
  <c r="B7" i="18"/>
  <c r="A7" i="18"/>
  <c r="B6" i="18" a="1"/>
  <c r="B6" i="18" s="1"/>
  <c r="B5" i="18"/>
  <c r="A5" i="18"/>
  <c r="B4" i="18" a="1"/>
  <c r="B4" i="18" s="1"/>
  <c r="E2" i="18"/>
  <c r="F2" i="18" s="1"/>
  <c r="G2" i="18" s="1"/>
  <c r="H2" i="18" s="1"/>
  <c r="I2" i="18" s="1"/>
  <c r="J2" i="18" s="1"/>
  <c r="K2" i="18" s="1"/>
  <c r="L2" i="18" s="1"/>
  <c r="M2" i="18" s="1"/>
  <c r="N2" i="18" s="1"/>
  <c r="O2" i="18" s="1"/>
  <c r="P2" i="18" s="1"/>
  <c r="Q2" i="18" s="1"/>
  <c r="R2" i="18" s="1"/>
  <c r="S2" i="18" s="1"/>
  <c r="T2" i="18" s="1"/>
  <c r="U2" i="18" s="1"/>
  <c r="V2" i="18" s="1"/>
  <c r="W2" i="18" s="1"/>
  <c r="X2" i="18" s="1"/>
  <c r="Y2" i="18" s="1"/>
  <c r="Z2" i="18" s="1"/>
  <c r="AA2" i="18" s="1"/>
  <c r="AB2" i="18" s="1"/>
  <c r="AC2" i="18" s="1"/>
  <c r="AD2" i="18" s="1"/>
  <c r="AE2" i="18" s="1"/>
  <c r="AF2" i="18" s="1"/>
  <c r="AG2" i="18" s="1"/>
  <c r="AH2" i="18" s="1"/>
  <c r="B31" i="18" l="1"/>
  <c r="B30" i="17" a="1"/>
  <c r="B30" i="17" s="1"/>
  <c r="B29" i="17"/>
  <c r="B27" i="17"/>
  <c r="A27" i="17"/>
  <c r="B26" i="17" a="1"/>
  <c r="B26" i="17" s="1"/>
  <c r="B25" i="17"/>
  <c r="A25" i="17"/>
  <c r="B24" i="17" a="1"/>
  <c r="B24" i="17" s="1"/>
  <c r="B23" i="17"/>
  <c r="A23" i="17"/>
  <c r="B22" i="17" a="1"/>
  <c r="B22" i="17" s="1"/>
  <c r="B21" i="17"/>
  <c r="A21" i="17"/>
  <c r="B20" i="17" a="1"/>
  <c r="B20" i="17" s="1"/>
  <c r="B19" i="17"/>
  <c r="A19" i="17"/>
  <c r="B18" i="17" a="1"/>
  <c r="B18" i="17" s="1"/>
  <c r="B17" i="17"/>
  <c r="A17" i="17"/>
  <c r="B16" i="17" a="1"/>
  <c r="B16" i="17" s="1"/>
  <c r="B15" i="17"/>
  <c r="A15" i="17"/>
  <c r="B14" i="17" a="1"/>
  <c r="B14" i="17" s="1"/>
  <c r="B13" i="17"/>
  <c r="A13" i="17"/>
  <c r="B12" i="17" a="1"/>
  <c r="B12" i="17" s="1"/>
  <c r="B11" i="17"/>
  <c r="A11" i="17"/>
  <c r="B10" i="17" a="1"/>
  <c r="B10" i="17" s="1"/>
  <c r="B9" i="17"/>
  <c r="A9" i="17"/>
  <c r="B8" i="17" a="1"/>
  <c r="B8" i="17" s="1"/>
  <c r="B7" i="17"/>
  <c r="A7" i="17"/>
  <c r="B6" i="17" a="1"/>
  <c r="B6" i="17" s="1"/>
  <c r="B5" i="17"/>
  <c r="A5" i="17"/>
  <c r="B4" i="17" a="1"/>
  <c r="B4" i="17" s="1"/>
  <c r="E2" i="17"/>
  <c r="F2" i="17" s="1"/>
  <c r="G2" i="17" s="1"/>
  <c r="H2" i="17" s="1"/>
  <c r="I2" i="17" s="1"/>
  <c r="J2" i="17" s="1"/>
  <c r="K2" i="17" s="1"/>
  <c r="L2" i="17" s="1"/>
  <c r="M2" i="17" s="1"/>
  <c r="N2" i="17" s="1"/>
  <c r="O2" i="17" s="1"/>
  <c r="P2" i="17" s="1"/>
  <c r="Q2" i="17" s="1"/>
  <c r="R2" i="17" s="1"/>
  <c r="S2" i="17" s="1"/>
  <c r="T2" i="17" s="1"/>
  <c r="U2" i="17" s="1"/>
  <c r="V2" i="17" s="1"/>
  <c r="W2" i="17" s="1"/>
  <c r="X2" i="17" s="1"/>
  <c r="Y2" i="17" s="1"/>
  <c r="Z2" i="17" s="1"/>
  <c r="AA2" i="17" s="1"/>
  <c r="AB2" i="17" s="1"/>
  <c r="AC2" i="17" s="1"/>
  <c r="AD2" i="17" s="1"/>
  <c r="AE2" i="17" s="1"/>
  <c r="AF2" i="17" s="1"/>
  <c r="AG2" i="17" s="1"/>
  <c r="AH2" i="17" s="1"/>
  <c r="B31" i="17" l="1"/>
  <c r="S27" i="5"/>
  <c r="I25" i="5"/>
  <c r="B29" i="14" l="1"/>
  <c r="X25" i="14" l="1"/>
  <c r="V21" i="14" l="1"/>
  <c r="B30" i="16" l="1" a="1"/>
  <c r="B30" i="16" s="1"/>
  <c r="B29" i="16"/>
  <c r="B27" i="16"/>
  <c r="A27" i="16"/>
  <c r="B26" i="16" a="1"/>
  <c r="B26" i="16" s="1"/>
  <c r="B25" i="16"/>
  <c r="A25" i="16"/>
  <c r="B24" i="16" a="1"/>
  <c r="B24" i="16" s="1"/>
  <c r="B23" i="16"/>
  <c r="A23" i="16"/>
  <c r="B22" i="16" a="1"/>
  <c r="B22" i="16" s="1"/>
  <c r="B21" i="16"/>
  <c r="A21" i="16"/>
  <c r="B20" i="16" a="1"/>
  <c r="B20" i="16" s="1"/>
  <c r="B19" i="16"/>
  <c r="A19" i="16"/>
  <c r="B18" i="16" a="1"/>
  <c r="B18" i="16" s="1"/>
  <c r="B17" i="16"/>
  <c r="A17" i="16"/>
  <c r="B16" i="16" a="1"/>
  <c r="B16" i="16" s="1"/>
  <c r="B15" i="16"/>
  <c r="A15" i="16"/>
  <c r="B14" i="16" a="1"/>
  <c r="B14" i="16" s="1"/>
  <c r="B13" i="16"/>
  <c r="A13" i="16"/>
  <c r="B12" i="16" a="1"/>
  <c r="B12" i="16" s="1"/>
  <c r="B11" i="16"/>
  <c r="A11" i="16"/>
  <c r="B10" i="16" a="1"/>
  <c r="B10" i="16" s="1"/>
  <c r="B9" i="16"/>
  <c r="A9" i="16"/>
  <c r="B8" i="16" a="1"/>
  <c r="B8" i="16" s="1"/>
  <c r="B7" i="16"/>
  <c r="A7" i="16"/>
  <c r="B6" i="16" a="1"/>
  <c r="B6" i="16" s="1"/>
  <c r="B5" i="16"/>
  <c r="A5" i="16"/>
  <c r="B4" i="16" a="1"/>
  <c r="B4" i="16" s="1"/>
  <c r="E2" i="16"/>
  <c r="F2" i="16" s="1"/>
  <c r="G2" i="16" s="1"/>
  <c r="H2" i="16" s="1"/>
  <c r="I2" i="16" s="1"/>
  <c r="J2" i="16" s="1"/>
  <c r="K2" i="16" s="1"/>
  <c r="L2" i="16" s="1"/>
  <c r="M2" i="16" s="1"/>
  <c r="N2" i="16" s="1"/>
  <c r="O2" i="16" s="1"/>
  <c r="P2" i="16" s="1"/>
  <c r="Q2" i="16" s="1"/>
  <c r="R2" i="16" s="1"/>
  <c r="S2" i="16" s="1"/>
  <c r="T2" i="16" s="1"/>
  <c r="U2" i="16" s="1"/>
  <c r="V2" i="16" s="1"/>
  <c r="W2" i="16" s="1"/>
  <c r="X2" i="16" s="1"/>
  <c r="Y2" i="16" s="1"/>
  <c r="Z2" i="16" s="1"/>
  <c r="AA2" i="16" s="1"/>
  <c r="AB2" i="16" s="1"/>
  <c r="AC2" i="16" s="1"/>
  <c r="AD2" i="16" s="1"/>
  <c r="AE2" i="16" s="1"/>
  <c r="AF2" i="16" s="1"/>
  <c r="AG2" i="16" s="1"/>
  <c r="AH2" i="16" s="1"/>
  <c r="B30" i="15" a="1"/>
  <c r="B30" i="15" s="1"/>
  <c r="B29" i="15"/>
  <c r="B27" i="15"/>
  <c r="A27" i="15"/>
  <c r="B26" i="15" a="1"/>
  <c r="B26" i="15" s="1"/>
  <c r="B25" i="15"/>
  <c r="A25" i="15"/>
  <c r="B24" i="15" a="1"/>
  <c r="B24" i="15" s="1"/>
  <c r="B23" i="15"/>
  <c r="A23" i="15"/>
  <c r="B22" i="15" a="1"/>
  <c r="B22" i="15" s="1"/>
  <c r="B21" i="15"/>
  <c r="A21" i="15"/>
  <c r="B20" i="15" a="1"/>
  <c r="B20" i="15" s="1"/>
  <c r="B19" i="15"/>
  <c r="A19" i="15"/>
  <c r="B18" i="15" a="1"/>
  <c r="B18" i="15" s="1"/>
  <c r="B17" i="15"/>
  <c r="A17" i="15"/>
  <c r="B16" i="15" a="1"/>
  <c r="B16" i="15" s="1"/>
  <c r="B15" i="15"/>
  <c r="A15" i="15"/>
  <c r="B14" i="15" a="1"/>
  <c r="B14" i="15" s="1"/>
  <c r="B13" i="15"/>
  <c r="A13" i="15"/>
  <c r="B12" i="15" a="1"/>
  <c r="B12" i="15" s="1"/>
  <c r="B11" i="15"/>
  <c r="A11" i="15"/>
  <c r="B10" i="15" a="1"/>
  <c r="B10" i="15" s="1"/>
  <c r="B9" i="15"/>
  <c r="A9" i="15"/>
  <c r="B8" i="15" a="1"/>
  <c r="B8" i="15" s="1"/>
  <c r="B7" i="15"/>
  <c r="A7" i="15"/>
  <c r="B6" i="15" a="1"/>
  <c r="B6" i="15" s="1"/>
  <c r="B5" i="15"/>
  <c r="A5" i="15"/>
  <c r="B4" i="15" a="1"/>
  <c r="B4" i="15" s="1"/>
  <c r="E2" i="15"/>
  <c r="F2" i="15" s="1"/>
  <c r="G2" i="15" s="1"/>
  <c r="H2" i="15" s="1"/>
  <c r="I2" i="15" s="1"/>
  <c r="J2" i="15" s="1"/>
  <c r="K2" i="15" s="1"/>
  <c r="L2" i="15" s="1"/>
  <c r="M2" i="15" s="1"/>
  <c r="N2" i="15" s="1"/>
  <c r="O2" i="15" s="1"/>
  <c r="P2" i="15" s="1"/>
  <c r="Q2" i="15" s="1"/>
  <c r="R2" i="15" s="1"/>
  <c r="S2" i="15" s="1"/>
  <c r="T2" i="15" s="1"/>
  <c r="U2" i="15" s="1"/>
  <c r="V2" i="15" s="1"/>
  <c r="W2" i="15" s="1"/>
  <c r="X2" i="15" s="1"/>
  <c r="Y2" i="15" s="1"/>
  <c r="Z2" i="15" s="1"/>
  <c r="AA2" i="15" s="1"/>
  <c r="AB2" i="15" s="1"/>
  <c r="AC2" i="15" s="1"/>
  <c r="AD2" i="15" s="1"/>
  <c r="AE2" i="15" s="1"/>
  <c r="AF2" i="15" s="1"/>
  <c r="AG2" i="15" s="1"/>
  <c r="AH2" i="15" s="1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E27" i="2"/>
  <c r="D27" i="2"/>
  <c r="AH26" i="2"/>
  <c r="AG26" i="2"/>
  <c r="AF26" i="2"/>
  <c r="AE26" i="2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B26" i="2"/>
  <c r="AH25" i="2"/>
  <c r="AG25" i="2"/>
  <c r="AF25" i="2"/>
  <c r="AE25" i="2"/>
  <c r="AD25" i="2"/>
  <c r="AC25" i="2"/>
  <c r="AB25" i="2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B25" i="2"/>
  <c r="AH24" i="2"/>
  <c r="AG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B24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AH22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B22" i="2"/>
  <c r="AH21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B21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B20" i="2"/>
  <c r="AH19" i="2"/>
  <c r="AG19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B19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B18" i="2"/>
  <c r="AH17" i="2"/>
  <c r="AG17" i="2"/>
  <c r="AF17" i="2"/>
  <c r="AE17" i="2"/>
  <c r="AD17" i="2"/>
  <c r="AC17" i="2"/>
  <c r="AB17" i="2"/>
  <c r="AA17" i="2"/>
  <c r="Z17" i="2"/>
  <c r="Y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AH16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B16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B15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B14" i="2"/>
  <c r="AH13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B13" i="2"/>
  <c r="AH12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B12" i="2"/>
  <c r="AH11" i="2"/>
  <c r="AG11" i="2"/>
  <c r="AF11" i="2"/>
  <c r="AE11" i="2"/>
  <c r="AD11" i="2"/>
  <c r="AC11" i="2"/>
  <c r="AB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B10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B9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B8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B7" i="2"/>
  <c r="AH6" i="2"/>
  <c r="AG6" i="2"/>
  <c r="AF6" i="2"/>
  <c r="AE6" i="2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B6" i="2"/>
  <c r="AH5" i="2"/>
  <c r="AG5" i="2"/>
  <c r="AF5" i="2"/>
  <c r="AE5" i="2"/>
  <c r="AD5" i="2"/>
  <c r="AC5" i="2"/>
  <c r="AB5" i="2"/>
  <c r="AA5" i="2"/>
  <c r="Z5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B5" i="2"/>
  <c r="AH4" i="2"/>
  <c r="AG4" i="2"/>
  <c r="AF4" i="2"/>
  <c r="AE4" i="2"/>
  <c r="AD4" i="2"/>
  <c r="AC4" i="2"/>
  <c r="AB4" i="2"/>
  <c r="AA4" i="2"/>
  <c r="Z4" i="2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B29" i="2" s="1"/>
  <c r="B4" i="2"/>
  <c r="B35" i="2" s="1"/>
  <c r="E2" i="2"/>
  <c r="F2" i="2" s="1"/>
  <c r="G2" i="2" s="1"/>
  <c r="H2" i="2" s="1"/>
  <c r="I2" i="2" s="1"/>
  <c r="J2" i="2" s="1"/>
  <c r="K2" i="2" s="1"/>
  <c r="L2" i="2" s="1"/>
  <c r="M2" i="2" s="1"/>
  <c r="N2" i="2" s="1"/>
  <c r="O2" i="2" s="1"/>
  <c r="P2" i="2" s="1"/>
  <c r="Q2" i="2" s="1"/>
  <c r="R2" i="2" s="1"/>
  <c r="S2" i="2" s="1"/>
  <c r="T2" i="2" s="1"/>
  <c r="U2" i="2" s="1"/>
  <c r="V2" i="2" s="1"/>
  <c r="W2" i="2" s="1"/>
  <c r="X2" i="2" s="1"/>
  <c r="Y2" i="2" s="1"/>
  <c r="Z2" i="2" s="1"/>
  <c r="AA2" i="2" s="1"/>
  <c r="AB2" i="2" s="1"/>
  <c r="AC2" i="2" s="1"/>
  <c r="AD2" i="2" s="1"/>
  <c r="AE2" i="2" s="1"/>
  <c r="AF2" i="2" s="1"/>
  <c r="AG2" i="2" s="1"/>
  <c r="AH2" i="2" s="1"/>
  <c r="B27" i="14"/>
  <c r="A27" i="14"/>
  <c r="B26" i="14" a="1"/>
  <c r="B26" i="14" s="1"/>
  <c r="B25" i="14"/>
  <c r="A25" i="14"/>
  <c r="B24" i="14" a="1"/>
  <c r="B24" i="14" s="1"/>
  <c r="B23" i="14"/>
  <c r="A23" i="14"/>
  <c r="B22" i="14" a="1"/>
  <c r="B22" i="14" s="1"/>
  <c r="B21" i="14"/>
  <c r="A21" i="14"/>
  <c r="B20" i="14" a="1"/>
  <c r="B20" i="14" s="1"/>
  <c r="B19" i="14"/>
  <c r="A19" i="14"/>
  <c r="B18" i="14" a="1"/>
  <c r="B18" i="14" s="1"/>
  <c r="B17" i="14"/>
  <c r="A17" i="14"/>
  <c r="B16" i="14" a="1"/>
  <c r="B16" i="14" s="1"/>
  <c r="B15" i="14"/>
  <c r="A15" i="14"/>
  <c r="B14" i="14" a="1"/>
  <c r="B14" i="14" s="1"/>
  <c r="B13" i="14"/>
  <c r="A13" i="14"/>
  <c r="B12" i="14" a="1"/>
  <c r="B12" i="14" s="1"/>
  <c r="B11" i="14"/>
  <c r="A11" i="14"/>
  <c r="B10" i="14" a="1"/>
  <c r="B10" i="14" s="1"/>
  <c r="B9" i="14"/>
  <c r="A9" i="14"/>
  <c r="B8" i="14" a="1"/>
  <c r="B8" i="14" s="1"/>
  <c r="F7" i="14"/>
  <c r="A7" i="14"/>
  <c r="B6" i="14" a="1"/>
  <c r="B6" i="14" s="1"/>
  <c r="B5" i="14"/>
  <c r="A5" i="14"/>
  <c r="B4" i="14" a="1"/>
  <c r="B4" i="14" s="1"/>
  <c r="E2" i="14"/>
  <c r="F2" i="14" s="1"/>
  <c r="G2" i="14" s="1"/>
  <c r="H2" i="14" s="1"/>
  <c r="I2" i="14" s="1"/>
  <c r="J2" i="14" s="1"/>
  <c r="K2" i="14" s="1"/>
  <c r="L2" i="14" s="1"/>
  <c r="M2" i="14" s="1"/>
  <c r="N2" i="14" s="1"/>
  <c r="O2" i="14" s="1"/>
  <c r="P2" i="14" s="1"/>
  <c r="Q2" i="14" s="1"/>
  <c r="R2" i="14" s="1"/>
  <c r="S2" i="14" s="1"/>
  <c r="T2" i="14" s="1"/>
  <c r="U2" i="14" s="1"/>
  <c r="V2" i="14" s="1"/>
  <c r="W2" i="14" s="1"/>
  <c r="X2" i="14" s="1"/>
  <c r="Y2" i="14" s="1"/>
  <c r="Z2" i="14" s="1"/>
  <c r="AA2" i="14" s="1"/>
  <c r="AB2" i="14" s="1"/>
  <c r="AC2" i="14" s="1"/>
  <c r="AD2" i="14" s="1"/>
  <c r="AE2" i="14" s="1"/>
  <c r="AF2" i="14" s="1"/>
  <c r="AG2" i="14" s="1"/>
  <c r="AH2" i="14" s="1"/>
  <c r="B29" i="13"/>
  <c r="B27" i="13"/>
  <c r="A27" i="13"/>
  <c r="B26" i="13" a="1"/>
  <c r="B26" i="13" s="1"/>
  <c r="L25" i="13"/>
  <c r="B25" i="13" s="1"/>
  <c r="A25" i="13"/>
  <c r="B24" i="13" a="1"/>
  <c r="B24" i="13" s="1"/>
  <c r="B23" i="13"/>
  <c r="A23" i="13"/>
  <c r="B22" i="13" a="1"/>
  <c r="B22" i="13" s="1"/>
  <c r="B21" i="13"/>
  <c r="A21" i="13"/>
  <c r="B20" i="13" a="1"/>
  <c r="B20" i="13" s="1"/>
  <c r="B19" i="13"/>
  <c r="A19" i="13"/>
  <c r="B18" i="13" a="1"/>
  <c r="B18" i="13" s="1"/>
  <c r="B17" i="13"/>
  <c r="A17" i="13"/>
  <c r="B16" i="13" a="1"/>
  <c r="B16" i="13" s="1"/>
  <c r="B15" i="13"/>
  <c r="A15" i="13"/>
  <c r="B14" i="13" a="1"/>
  <c r="B14" i="13" s="1"/>
  <c r="B13" i="13"/>
  <c r="A13" i="13"/>
  <c r="B12" i="13" a="1"/>
  <c r="B12" i="13" s="1"/>
  <c r="AD11" i="13"/>
  <c r="B11" i="13" s="1"/>
  <c r="A11" i="13"/>
  <c r="B10" i="13" a="1"/>
  <c r="B10" i="13" s="1"/>
  <c r="B9" i="13"/>
  <c r="A9" i="13"/>
  <c r="B8" i="13" a="1"/>
  <c r="B8" i="13" s="1"/>
  <c r="F7" i="13"/>
  <c r="B30" i="13" s="1" a="1"/>
  <c r="B30" i="13" s="1"/>
  <c r="B7" i="13"/>
  <c r="A7" i="13"/>
  <c r="B6" i="13" a="1"/>
  <c r="B6" i="13" s="1"/>
  <c r="B5" i="13"/>
  <c r="A5" i="13"/>
  <c r="B4" i="13" a="1"/>
  <c r="B4" i="13" s="1"/>
  <c r="E2" i="13"/>
  <c r="F2" i="13" s="1"/>
  <c r="G2" i="13" s="1"/>
  <c r="H2" i="13" s="1"/>
  <c r="I2" i="13" s="1"/>
  <c r="J2" i="13" s="1"/>
  <c r="K2" i="13" s="1"/>
  <c r="L2" i="13" s="1"/>
  <c r="M2" i="13" s="1"/>
  <c r="N2" i="13" s="1"/>
  <c r="O2" i="13" s="1"/>
  <c r="P2" i="13" s="1"/>
  <c r="Q2" i="13" s="1"/>
  <c r="R2" i="13" s="1"/>
  <c r="S2" i="13" s="1"/>
  <c r="T2" i="13" s="1"/>
  <c r="U2" i="13" s="1"/>
  <c r="V2" i="13" s="1"/>
  <c r="W2" i="13" s="1"/>
  <c r="X2" i="13" s="1"/>
  <c r="Y2" i="13" s="1"/>
  <c r="Z2" i="13" s="1"/>
  <c r="AA2" i="13" s="1"/>
  <c r="AB2" i="13" s="1"/>
  <c r="AC2" i="13" s="1"/>
  <c r="AD2" i="13" s="1"/>
  <c r="AE2" i="13" s="1"/>
  <c r="AF2" i="13" s="1"/>
  <c r="AG2" i="13" s="1"/>
  <c r="AH2" i="13" s="1"/>
  <c r="B29" i="12"/>
  <c r="F27" i="12"/>
  <c r="F27" i="2" s="1"/>
  <c r="B27" i="2" s="1"/>
  <c r="A27" i="12"/>
  <c r="B26" i="12" a="1"/>
  <c r="B26" i="12" s="1"/>
  <c r="B25" i="12"/>
  <c r="A25" i="12"/>
  <c r="B24" i="12" a="1"/>
  <c r="B24" i="12" s="1"/>
  <c r="T23" i="12"/>
  <c r="T23" i="2" s="1"/>
  <c r="B23" i="2" s="1"/>
  <c r="B23" i="12"/>
  <c r="A23" i="12"/>
  <c r="B22" i="12" a="1"/>
  <c r="B22" i="12" s="1"/>
  <c r="B21" i="12"/>
  <c r="A21" i="12"/>
  <c r="B20" i="12" a="1"/>
  <c r="B20" i="12" s="1"/>
  <c r="B19" i="12"/>
  <c r="A19" i="12"/>
  <c r="B18" i="12" a="1"/>
  <c r="B18" i="12" s="1"/>
  <c r="X17" i="12"/>
  <c r="X17" i="2" s="1"/>
  <c r="B17" i="2" s="1"/>
  <c r="B17" i="12"/>
  <c r="A17" i="12"/>
  <c r="B16" i="12" a="1"/>
  <c r="B16" i="12" s="1"/>
  <c r="B15" i="12"/>
  <c r="A15" i="12"/>
  <c r="B14" i="12" a="1"/>
  <c r="B14" i="12" s="1"/>
  <c r="B13" i="12"/>
  <c r="A13" i="12"/>
  <c r="B12" i="12" a="1"/>
  <c r="B12" i="12" s="1"/>
  <c r="AA11" i="12"/>
  <c r="B11" i="12" s="1"/>
  <c r="A11" i="12"/>
  <c r="B9" i="12"/>
  <c r="A9" i="12"/>
  <c r="B8" i="12" a="1"/>
  <c r="B8" i="12" s="1"/>
  <c r="B7" i="12"/>
  <c r="A7" i="12"/>
  <c r="B6" i="12" a="1"/>
  <c r="B6" i="12" s="1"/>
  <c r="B5" i="12"/>
  <c r="A5" i="12"/>
  <c r="B4" i="12" a="1"/>
  <c r="B4" i="12" s="1"/>
  <c r="E2" i="12"/>
  <c r="F2" i="12" s="1"/>
  <c r="G2" i="12" s="1"/>
  <c r="H2" i="12" s="1"/>
  <c r="I2" i="12" s="1"/>
  <c r="J2" i="12" s="1"/>
  <c r="K2" i="12" s="1"/>
  <c r="L2" i="12" s="1"/>
  <c r="M2" i="12" s="1"/>
  <c r="N2" i="12" s="1"/>
  <c r="O2" i="12" s="1"/>
  <c r="P2" i="12" s="1"/>
  <c r="Q2" i="12" s="1"/>
  <c r="R2" i="12" s="1"/>
  <c r="S2" i="12" s="1"/>
  <c r="T2" i="12" s="1"/>
  <c r="U2" i="12" s="1"/>
  <c r="V2" i="12" s="1"/>
  <c r="W2" i="12" s="1"/>
  <c r="X2" i="12" s="1"/>
  <c r="Y2" i="12" s="1"/>
  <c r="Z2" i="12" s="1"/>
  <c r="AA2" i="12" s="1"/>
  <c r="AB2" i="12" s="1"/>
  <c r="AC2" i="12" s="1"/>
  <c r="AD2" i="12" s="1"/>
  <c r="AE2" i="12" s="1"/>
  <c r="AF2" i="12" s="1"/>
  <c r="AG2" i="12" s="1"/>
  <c r="AH2" i="12" s="1"/>
  <c r="B29" i="11"/>
  <c r="L27" i="11"/>
  <c r="B26" i="11" s="1" a="1"/>
  <c r="B26" i="11" s="1"/>
  <c r="B27" i="11"/>
  <c r="A27" i="11"/>
  <c r="K25" i="11"/>
  <c r="B25" i="11"/>
  <c r="A25" i="11"/>
  <c r="B24" i="11" a="1"/>
  <c r="B24" i="11" s="1"/>
  <c r="B23" i="11"/>
  <c r="A23" i="11"/>
  <c r="B22" i="11" a="1"/>
  <c r="B22" i="11" s="1"/>
  <c r="S21" i="11"/>
  <c r="B21" i="11" s="1"/>
  <c r="A21" i="11"/>
  <c r="B19" i="11"/>
  <c r="A19" i="11"/>
  <c r="B18" i="11" a="1"/>
  <c r="B18" i="11" s="1"/>
  <c r="B17" i="11"/>
  <c r="A17" i="11"/>
  <c r="B16" i="11" a="1"/>
  <c r="B16" i="11" s="1"/>
  <c r="B15" i="11"/>
  <c r="A15" i="11"/>
  <c r="B14" i="11" a="1"/>
  <c r="B14" i="11" s="1"/>
  <c r="B13" i="11"/>
  <c r="A13" i="11"/>
  <c r="B12" i="11" a="1"/>
  <c r="B12" i="11" s="1"/>
  <c r="H11" i="11"/>
  <c r="B11" i="11"/>
  <c r="A11" i="11"/>
  <c r="B10" i="11" a="1"/>
  <c r="B10" i="11" s="1"/>
  <c r="B9" i="11"/>
  <c r="A9" i="11"/>
  <c r="B8" i="11" a="1"/>
  <c r="B8" i="11" s="1"/>
  <c r="B7" i="11"/>
  <c r="A7" i="11"/>
  <c r="B6" i="11" a="1"/>
  <c r="B6" i="11" s="1"/>
  <c r="J5" i="11"/>
  <c r="A5" i="11"/>
  <c r="E2" i="11"/>
  <c r="F2" i="11" s="1"/>
  <c r="G2" i="11" s="1"/>
  <c r="H2" i="11" s="1"/>
  <c r="I2" i="11" s="1"/>
  <c r="J2" i="11" s="1"/>
  <c r="K2" i="11" s="1"/>
  <c r="L2" i="11" s="1"/>
  <c r="M2" i="11" s="1"/>
  <c r="N2" i="11" s="1"/>
  <c r="O2" i="11" s="1"/>
  <c r="P2" i="11" s="1"/>
  <c r="Q2" i="11" s="1"/>
  <c r="R2" i="11" s="1"/>
  <c r="S2" i="11" s="1"/>
  <c r="T2" i="11" s="1"/>
  <c r="U2" i="11" s="1"/>
  <c r="V2" i="11" s="1"/>
  <c r="W2" i="11" s="1"/>
  <c r="X2" i="11" s="1"/>
  <c r="Y2" i="11" s="1"/>
  <c r="Z2" i="11" s="1"/>
  <c r="AA2" i="11" s="1"/>
  <c r="AB2" i="11" s="1"/>
  <c r="AC2" i="11" s="1"/>
  <c r="AD2" i="11" s="1"/>
  <c r="AE2" i="11" s="1"/>
  <c r="AF2" i="11" s="1"/>
  <c r="AG2" i="11" s="1"/>
  <c r="AH2" i="11" s="1"/>
  <c r="B29" i="1"/>
  <c r="F27" i="1"/>
  <c r="B27" i="1"/>
  <c r="A27" i="1"/>
  <c r="B26" i="1" a="1"/>
  <c r="B26" i="1" s="1"/>
  <c r="B25" i="1"/>
  <c r="A25" i="1"/>
  <c r="B24" i="1" a="1"/>
  <c r="B24" i="1" s="1"/>
  <c r="K23" i="1"/>
  <c r="B23" i="1"/>
  <c r="A23" i="1"/>
  <c r="B22" i="1" a="1"/>
  <c r="B22" i="1" s="1"/>
  <c r="B21" i="1"/>
  <c r="A21" i="1"/>
  <c r="B20" i="1" a="1"/>
  <c r="B20" i="1" s="1"/>
  <c r="B19" i="1"/>
  <c r="A19" i="1"/>
  <c r="B18" i="1" a="1"/>
  <c r="B18" i="1" s="1"/>
  <c r="B17" i="1"/>
  <c r="A17" i="1"/>
  <c r="B16" i="1" a="1"/>
  <c r="B16" i="1" s="1"/>
  <c r="B15" i="1"/>
  <c r="A15" i="1"/>
  <c r="B14" i="1" a="1"/>
  <c r="B14" i="1" s="1"/>
  <c r="U13" i="1"/>
  <c r="B13" i="1"/>
  <c r="A13" i="1"/>
  <c r="B12" i="1" a="1"/>
  <c r="B12" i="1" s="1"/>
  <c r="B11" i="1"/>
  <c r="A11" i="1"/>
  <c r="B10" i="1" a="1"/>
  <c r="B10" i="1" s="1"/>
  <c r="B9" i="1"/>
  <c r="A9" i="1"/>
  <c r="B8" i="1" a="1"/>
  <c r="B8" i="1" s="1"/>
  <c r="P7" i="1"/>
  <c r="B30" i="1" s="1" a="1"/>
  <c r="B30" i="1" s="1"/>
  <c r="A7" i="1"/>
  <c r="B5" i="1"/>
  <c r="A5" i="1"/>
  <c r="B4" i="1" a="1"/>
  <c r="B4" i="1" s="1"/>
  <c r="E2" i="1"/>
  <c r="F2" i="1" s="1"/>
  <c r="G2" i="1" s="1"/>
  <c r="H2" i="1" s="1"/>
  <c r="I2" i="1" s="1"/>
  <c r="J2" i="1" s="1"/>
  <c r="K2" i="1" s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B29" i="3"/>
  <c r="B27" i="3"/>
  <c r="A27" i="3"/>
  <c r="B26" i="3" a="1"/>
  <c r="B26" i="3" s="1"/>
  <c r="Q25" i="3"/>
  <c r="B25" i="3" s="1"/>
  <c r="A25" i="3"/>
  <c r="B24" i="3" a="1"/>
  <c r="B24" i="3" s="1"/>
  <c r="M23" i="3"/>
  <c r="B23" i="3"/>
  <c r="A23" i="3"/>
  <c r="B22" i="3" a="1"/>
  <c r="B22" i="3" s="1"/>
  <c r="Y21" i="3"/>
  <c r="K21" i="3"/>
  <c r="B21" i="3"/>
  <c r="A21" i="3"/>
  <c r="B20" i="3" a="1"/>
  <c r="B20" i="3" s="1"/>
  <c r="B19" i="3"/>
  <c r="A19" i="3"/>
  <c r="B18" i="3" a="1"/>
  <c r="B18" i="3" s="1"/>
  <c r="B17" i="3"/>
  <c r="A17" i="3"/>
  <c r="B16" i="3" a="1"/>
  <c r="B16" i="3" s="1"/>
  <c r="K15" i="3"/>
  <c r="A15" i="3"/>
  <c r="B13" i="3"/>
  <c r="A13" i="3"/>
  <c r="B12" i="3" a="1"/>
  <c r="B12" i="3" s="1"/>
  <c r="U11" i="3"/>
  <c r="B11" i="3"/>
  <c r="A11" i="3"/>
  <c r="B10" i="3" a="1"/>
  <c r="B10" i="3" s="1"/>
  <c r="B9" i="3"/>
  <c r="A9" i="3"/>
  <c r="B8" i="3" a="1"/>
  <c r="B8" i="3" s="1"/>
  <c r="R7" i="3"/>
  <c r="B7" i="3" s="1"/>
  <c r="A7" i="3"/>
  <c r="B6" i="3" a="1"/>
  <c r="B6" i="3" s="1"/>
  <c r="B5" i="3"/>
  <c r="A5" i="3"/>
  <c r="B4" i="3" a="1"/>
  <c r="B4" i="3" s="1"/>
  <c r="E2" i="3"/>
  <c r="F2" i="3" s="1"/>
  <c r="G2" i="3" s="1"/>
  <c r="H2" i="3" s="1"/>
  <c r="I2" i="3" s="1"/>
  <c r="J2" i="3" s="1"/>
  <c r="K2" i="3" s="1"/>
  <c r="L2" i="3" s="1"/>
  <c r="M2" i="3" s="1"/>
  <c r="N2" i="3" s="1"/>
  <c r="O2" i="3" s="1"/>
  <c r="P2" i="3" s="1"/>
  <c r="Q2" i="3" s="1"/>
  <c r="R2" i="3" s="1"/>
  <c r="S2" i="3" s="1"/>
  <c r="T2" i="3" s="1"/>
  <c r="U2" i="3" s="1"/>
  <c r="V2" i="3" s="1"/>
  <c r="W2" i="3" s="1"/>
  <c r="X2" i="3" s="1"/>
  <c r="Y2" i="3" s="1"/>
  <c r="Z2" i="3" s="1"/>
  <c r="AA2" i="3" s="1"/>
  <c r="AB2" i="3" s="1"/>
  <c r="AC2" i="3" s="1"/>
  <c r="AD2" i="3" s="1"/>
  <c r="AE2" i="3" s="1"/>
  <c r="AF2" i="3" s="1"/>
  <c r="AG2" i="3" s="1"/>
  <c r="AH2" i="3" s="1"/>
  <c r="B29" i="4"/>
  <c r="M27" i="4"/>
  <c r="B27" i="4"/>
  <c r="A27" i="4"/>
  <c r="B26" i="4" a="1"/>
  <c r="B26" i="4" s="1"/>
  <c r="H25" i="4"/>
  <c r="B24" i="4" s="1" a="1"/>
  <c r="B24" i="4" s="1"/>
  <c r="B25" i="4"/>
  <c r="A25" i="4"/>
  <c r="B23" i="4"/>
  <c r="A23" i="4"/>
  <c r="B22" i="4" a="1"/>
  <c r="B22" i="4" s="1"/>
  <c r="Q21" i="4"/>
  <c r="B21" i="4"/>
  <c r="A21" i="4"/>
  <c r="B20" i="4" a="1"/>
  <c r="B20" i="4" s="1"/>
  <c r="B19" i="4"/>
  <c r="A19" i="4"/>
  <c r="B18" i="4" a="1"/>
  <c r="B18" i="4" s="1"/>
  <c r="B17" i="4"/>
  <c r="A17" i="4"/>
  <c r="B16" i="4" a="1"/>
  <c r="B16" i="4" s="1"/>
  <c r="AA15" i="4"/>
  <c r="B15" i="4" s="1"/>
  <c r="A15" i="4"/>
  <c r="J13" i="4"/>
  <c r="B13" i="4"/>
  <c r="A13" i="4"/>
  <c r="B12" i="4" a="1"/>
  <c r="B12" i="4" s="1"/>
  <c r="K11" i="4"/>
  <c r="A11" i="4"/>
  <c r="B9" i="4"/>
  <c r="A9" i="4"/>
  <c r="B8" i="4" a="1"/>
  <c r="B8" i="4" s="1"/>
  <c r="B7" i="4"/>
  <c r="A7" i="4"/>
  <c r="B6" i="4" a="1"/>
  <c r="B6" i="4" s="1"/>
  <c r="B5" i="4"/>
  <c r="A5" i="4"/>
  <c r="B4" i="4" a="1"/>
  <c r="B4" i="4" s="1"/>
  <c r="E2" i="4"/>
  <c r="F2" i="4" s="1"/>
  <c r="G2" i="4" s="1"/>
  <c r="H2" i="4" s="1"/>
  <c r="I2" i="4" s="1"/>
  <c r="J2" i="4" s="1"/>
  <c r="K2" i="4" s="1"/>
  <c r="L2" i="4" s="1"/>
  <c r="M2" i="4" s="1"/>
  <c r="N2" i="4" s="1"/>
  <c r="O2" i="4" s="1"/>
  <c r="P2" i="4" s="1"/>
  <c r="Q2" i="4" s="1"/>
  <c r="R2" i="4" s="1"/>
  <c r="S2" i="4" s="1"/>
  <c r="T2" i="4" s="1"/>
  <c r="U2" i="4" s="1"/>
  <c r="V2" i="4" s="1"/>
  <c r="W2" i="4" s="1"/>
  <c r="X2" i="4" s="1"/>
  <c r="Y2" i="4" s="1"/>
  <c r="Z2" i="4" s="1"/>
  <c r="AA2" i="4" s="1"/>
  <c r="AB2" i="4" s="1"/>
  <c r="AC2" i="4" s="1"/>
  <c r="AD2" i="4" s="1"/>
  <c r="AE2" i="4" s="1"/>
  <c r="AF2" i="4" s="1"/>
  <c r="AG2" i="4" s="1"/>
  <c r="AH2" i="4" s="1"/>
  <c r="B29" i="5"/>
  <c r="B27" i="5"/>
  <c r="A27" i="5"/>
  <c r="B26" i="5" a="1"/>
  <c r="B26" i="5" s="1"/>
  <c r="B25" i="5"/>
  <c r="A25" i="5"/>
  <c r="B24" i="5" a="1"/>
  <c r="B24" i="5" s="1"/>
  <c r="B23" i="5"/>
  <c r="A23" i="5"/>
  <c r="B22" i="5" a="1"/>
  <c r="B22" i="5" s="1"/>
  <c r="X21" i="5"/>
  <c r="B21" i="5" s="1"/>
  <c r="A21" i="5"/>
  <c r="B20" i="5" a="1"/>
  <c r="B20" i="5" s="1"/>
  <c r="B19" i="5"/>
  <c r="A19" i="5"/>
  <c r="B18" i="5" a="1"/>
  <c r="B18" i="5" s="1"/>
  <c r="E17" i="5"/>
  <c r="A17" i="5"/>
  <c r="G15" i="5"/>
  <c r="B15" i="5" s="1"/>
  <c r="A15" i="5"/>
  <c r="B13" i="5"/>
  <c r="A13" i="5"/>
  <c r="B12" i="5" a="1"/>
  <c r="B12" i="5" s="1"/>
  <c r="R11" i="5"/>
  <c r="B11" i="5" s="1"/>
  <c r="A11" i="5"/>
  <c r="B10" i="5" a="1"/>
  <c r="B10" i="5" s="1"/>
  <c r="E9" i="5"/>
  <c r="B9" i="5" s="1"/>
  <c r="A9" i="5"/>
  <c r="B8" i="5" a="1"/>
  <c r="B8" i="5" s="1"/>
  <c r="B7" i="5"/>
  <c r="A7" i="5"/>
  <c r="B6" i="5" a="1"/>
  <c r="B6" i="5" s="1"/>
  <c r="V5" i="5"/>
  <c r="B4" i="5" s="1" a="1"/>
  <c r="B4" i="5" s="1"/>
  <c r="A5" i="5"/>
  <c r="E2" i="5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B29" i="6"/>
  <c r="Y27" i="6"/>
  <c r="B27" i="6" s="1"/>
  <c r="A27" i="6"/>
  <c r="B26" i="6" a="1"/>
  <c r="B26" i="6" s="1"/>
  <c r="AA25" i="6"/>
  <c r="B25" i="6"/>
  <c r="A25" i="6"/>
  <c r="B24" i="6" a="1"/>
  <c r="B24" i="6" s="1"/>
  <c r="I23" i="6"/>
  <c r="B23" i="6" s="1"/>
  <c r="A23" i="6"/>
  <c r="N21" i="6"/>
  <c r="B21" i="6"/>
  <c r="A21" i="6"/>
  <c r="B20" i="6" a="1"/>
  <c r="B20" i="6" s="1"/>
  <c r="B19" i="6"/>
  <c r="A19" i="6"/>
  <c r="B18" i="6" a="1"/>
  <c r="B18" i="6" s="1"/>
  <c r="F17" i="6"/>
  <c r="B17" i="6" s="1"/>
  <c r="A17" i="6"/>
  <c r="B16" i="6" a="1"/>
  <c r="B16" i="6" s="1"/>
  <c r="F15" i="6"/>
  <c r="B15" i="6"/>
  <c r="A15" i="6"/>
  <c r="B14" i="6" a="1"/>
  <c r="B14" i="6" s="1"/>
  <c r="J13" i="6"/>
  <c r="B13" i="6" s="1"/>
  <c r="A13" i="6"/>
  <c r="B11" i="6"/>
  <c r="A11" i="6"/>
  <c r="B10" i="6" a="1"/>
  <c r="B10" i="6" s="1"/>
  <c r="B9" i="6"/>
  <c r="A9" i="6"/>
  <c r="B8" i="6" a="1"/>
  <c r="B8" i="6" s="1"/>
  <c r="U7" i="6"/>
  <c r="B7" i="6"/>
  <c r="A7" i="6"/>
  <c r="B6" i="6" a="1"/>
  <c r="B6" i="6" s="1"/>
  <c r="J5" i="6"/>
  <c r="B5" i="6" s="1"/>
  <c r="A5" i="6"/>
  <c r="B4" i="6" a="1"/>
  <c r="B4" i="6" s="1"/>
  <c r="E2" i="6"/>
  <c r="F2" i="6" s="1"/>
  <c r="G2" i="6" s="1"/>
  <c r="H2" i="6" s="1"/>
  <c r="I2" i="6" s="1"/>
  <c r="J2" i="6" s="1"/>
  <c r="K2" i="6" s="1"/>
  <c r="L2" i="6" s="1"/>
  <c r="M2" i="6" s="1"/>
  <c r="N2" i="6" s="1"/>
  <c r="O2" i="6" s="1"/>
  <c r="P2" i="6" s="1"/>
  <c r="Q2" i="6" s="1"/>
  <c r="R2" i="6" s="1"/>
  <c r="S2" i="6" s="1"/>
  <c r="T2" i="6" s="1"/>
  <c r="U2" i="6" s="1"/>
  <c r="V2" i="6" s="1"/>
  <c r="W2" i="6" s="1"/>
  <c r="X2" i="6" s="1"/>
  <c r="Y2" i="6" s="1"/>
  <c r="Z2" i="6" s="1"/>
  <c r="AA2" i="6" s="1"/>
  <c r="AB2" i="6" s="1"/>
  <c r="AC2" i="6" s="1"/>
  <c r="AD2" i="6" s="1"/>
  <c r="AE2" i="6" s="1"/>
  <c r="AF2" i="6" s="1"/>
  <c r="AG2" i="6" s="1"/>
  <c r="AH2" i="6" s="1"/>
  <c r="B29" i="7"/>
  <c r="I27" i="7"/>
  <c r="B27" i="7"/>
  <c r="A27" i="7"/>
  <c r="B26" i="7" a="1"/>
  <c r="B26" i="7" s="1"/>
  <c r="H25" i="7"/>
  <c r="B25" i="7" s="1"/>
  <c r="A25" i="7"/>
  <c r="B24" i="7" a="1"/>
  <c r="B24" i="7" s="1"/>
  <c r="H23" i="7"/>
  <c r="B23" i="7"/>
  <c r="A23" i="7"/>
  <c r="B22" i="7" a="1"/>
  <c r="B22" i="7" s="1"/>
  <c r="B21" i="7"/>
  <c r="A21" i="7"/>
  <c r="B20" i="7" a="1"/>
  <c r="B20" i="7" s="1"/>
  <c r="AG19" i="7"/>
  <c r="B19" i="7" s="1"/>
  <c r="A19" i="7"/>
  <c r="L17" i="7"/>
  <c r="B17" i="7"/>
  <c r="A17" i="7"/>
  <c r="B16" i="7" a="1"/>
  <c r="B16" i="7" s="1"/>
  <c r="D15" i="7"/>
  <c r="A15" i="7"/>
  <c r="E13" i="7"/>
  <c r="B13" i="7"/>
  <c r="A13" i="7"/>
  <c r="B12" i="7" a="1"/>
  <c r="B12" i="7" s="1"/>
  <c r="E11" i="7"/>
  <c r="B11" i="7" s="1"/>
  <c r="A11" i="7"/>
  <c r="B9" i="7"/>
  <c r="A9" i="7"/>
  <c r="B8" i="7" a="1"/>
  <c r="B8" i="7" s="1"/>
  <c r="H7" i="7"/>
  <c r="B7" i="7"/>
  <c r="A7" i="7"/>
  <c r="B6" i="7" a="1"/>
  <c r="B6" i="7" s="1"/>
  <c r="O5" i="7"/>
  <c r="B5" i="7" s="1"/>
  <c r="A5" i="7"/>
  <c r="E2" i="7"/>
  <c r="F2" i="7" s="1"/>
  <c r="G2" i="7" s="1"/>
  <c r="H2" i="7" s="1"/>
  <c r="I2" i="7" s="1"/>
  <c r="J2" i="7" s="1"/>
  <c r="K2" i="7" s="1"/>
  <c r="L2" i="7" s="1"/>
  <c r="M2" i="7" s="1"/>
  <c r="N2" i="7" s="1"/>
  <c r="O2" i="7" s="1"/>
  <c r="P2" i="7" s="1"/>
  <c r="Q2" i="7" s="1"/>
  <c r="R2" i="7" s="1"/>
  <c r="S2" i="7" s="1"/>
  <c r="T2" i="7" s="1"/>
  <c r="U2" i="7" s="1"/>
  <c r="V2" i="7" s="1"/>
  <c r="W2" i="7" s="1"/>
  <c r="X2" i="7" s="1"/>
  <c r="Y2" i="7" s="1"/>
  <c r="Z2" i="7" s="1"/>
  <c r="AA2" i="7" s="1"/>
  <c r="AB2" i="7" s="1"/>
  <c r="AC2" i="7" s="1"/>
  <c r="AD2" i="7" s="1"/>
  <c r="AE2" i="7" s="1"/>
  <c r="AF2" i="7" s="1"/>
  <c r="AG2" i="7" s="1"/>
  <c r="AH2" i="7" s="1"/>
  <c r="B29" i="8"/>
  <c r="U27" i="8"/>
  <c r="G27" i="8"/>
  <c r="B27" i="8" s="1"/>
  <c r="A27" i="8"/>
  <c r="W25" i="8"/>
  <c r="F25" i="8"/>
  <c r="B25" i="8"/>
  <c r="A25" i="8"/>
  <c r="B24" i="8" a="1"/>
  <c r="B24" i="8" s="1"/>
  <c r="P23" i="8"/>
  <c r="B23" i="8"/>
  <c r="A23" i="8"/>
  <c r="B22" i="8" a="1"/>
  <c r="B22" i="8" s="1"/>
  <c r="AC21" i="8"/>
  <c r="B21" i="8" s="1"/>
  <c r="A21" i="8"/>
  <c r="B19" i="8"/>
  <c r="A19" i="8"/>
  <c r="B18" i="8" a="1"/>
  <c r="B18" i="8" s="1"/>
  <c r="J17" i="8"/>
  <c r="B17" i="8"/>
  <c r="A17" i="8"/>
  <c r="B16" i="8" a="1"/>
  <c r="B16" i="8" s="1"/>
  <c r="B15" i="8"/>
  <c r="A15" i="8"/>
  <c r="B14" i="8" a="1"/>
  <c r="B14" i="8" s="1"/>
  <c r="AC13" i="8"/>
  <c r="U13" i="8"/>
  <c r="F13" i="8"/>
  <c r="A13" i="8"/>
  <c r="B12" i="8" a="1"/>
  <c r="B12" i="8" s="1"/>
  <c r="V11" i="8"/>
  <c r="H11" i="8"/>
  <c r="B10" i="8" s="1" a="1"/>
  <c r="B10" i="8" s="1"/>
  <c r="A11" i="8"/>
  <c r="B9" i="8"/>
  <c r="A9" i="8"/>
  <c r="B8" i="8" a="1"/>
  <c r="B8" i="8" s="1"/>
  <c r="M7" i="8"/>
  <c r="B7" i="8"/>
  <c r="A7" i="8"/>
  <c r="B6" i="8" a="1"/>
  <c r="B6" i="8" s="1"/>
  <c r="O5" i="8"/>
  <c r="B5" i="8" s="1"/>
  <c r="A5" i="8"/>
  <c r="E2" i="8"/>
  <c r="F2" i="8" s="1"/>
  <c r="G2" i="8" s="1"/>
  <c r="H2" i="8" s="1"/>
  <c r="I2" i="8" s="1"/>
  <c r="J2" i="8" s="1"/>
  <c r="K2" i="8" s="1"/>
  <c r="L2" i="8" s="1"/>
  <c r="M2" i="8" s="1"/>
  <c r="N2" i="8" s="1"/>
  <c r="O2" i="8" s="1"/>
  <c r="P2" i="8" s="1"/>
  <c r="Q2" i="8" s="1"/>
  <c r="R2" i="8" s="1"/>
  <c r="S2" i="8" s="1"/>
  <c r="T2" i="8" s="1"/>
  <c r="U2" i="8" s="1"/>
  <c r="V2" i="8" s="1"/>
  <c r="W2" i="8" s="1"/>
  <c r="X2" i="8" s="1"/>
  <c r="Y2" i="8" s="1"/>
  <c r="Z2" i="8" s="1"/>
  <c r="AA2" i="8" s="1"/>
  <c r="AB2" i="8" s="1"/>
  <c r="AC2" i="8" s="1"/>
  <c r="AD2" i="8" s="1"/>
  <c r="AE2" i="8" s="1"/>
  <c r="AF2" i="8" s="1"/>
  <c r="AG2" i="8" s="1"/>
  <c r="AH2" i="8" s="1"/>
  <c r="B29" i="9"/>
  <c r="Z27" i="9"/>
  <c r="L27" i="9"/>
  <c r="B27" i="9"/>
  <c r="A27" i="9"/>
  <c r="X25" i="9"/>
  <c r="G25" i="9"/>
  <c r="A25" i="9"/>
  <c r="W23" i="9"/>
  <c r="B23" i="9" s="1"/>
  <c r="A23" i="9"/>
  <c r="B22" i="9" a="1"/>
  <c r="B22" i="9" s="1"/>
  <c r="AD21" i="9"/>
  <c r="B21" i="9"/>
  <c r="A21" i="9"/>
  <c r="B20" i="9" a="1"/>
  <c r="B20" i="9" s="1"/>
  <c r="B19" i="9"/>
  <c r="A19" i="9"/>
  <c r="B18" i="9" a="1"/>
  <c r="B18" i="9" s="1"/>
  <c r="Y17" i="9"/>
  <c r="R17" i="9"/>
  <c r="G17" i="9"/>
  <c r="B17" i="9" s="1"/>
  <c r="A17" i="9"/>
  <c r="P15" i="9"/>
  <c r="B15" i="9"/>
  <c r="A15" i="9"/>
  <c r="B14" i="9" a="1"/>
  <c r="B14" i="9" s="1"/>
  <c r="AD13" i="9"/>
  <c r="I13" i="9"/>
  <c r="A13" i="9"/>
  <c r="AC11" i="9"/>
  <c r="R11" i="9"/>
  <c r="G11" i="9"/>
  <c r="B11" i="9" s="1"/>
  <c r="A11" i="9"/>
  <c r="B10" i="9" a="1"/>
  <c r="B10" i="9" s="1"/>
  <c r="B9" i="9"/>
  <c r="A9" i="9"/>
  <c r="B8" i="9" a="1"/>
  <c r="B8" i="9" s="1"/>
  <c r="B7" i="9"/>
  <c r="A7" i="9"/>
  <c r="B6" i="9" a="1"/>
  <c r="B6" i="9" s="1"/>
  <c r="AC5" i="9"/>
  <c r="M5" i="9"/>
  <c r="H5" i="9"/>
  <c r="F5" i="9"/>
  <c r="B5" i="9" s="1"/>
  <c r="A5" i="9"/>
  <c r="B4" i="9" a="1"/>
  <c r="B4" i="9" s="1"/>
  <c r="E2" i="9"/>
  <c r="F2" i="9" s="1"/>
  <c r="G2" i="9" s="1"/>
  <c r="H2" i="9" s="1"/>
  <c r="I2" i="9" s="1"/>
  <c r="J2" i="9" s="1"/>
  <c r="K2" i="9" s="1"/>
  <c r="L2" i="9" s="1"/>
  <c r="M2" i="9" s="1"/>
  <c r="N2" i="9" s="1"/>
  <c r="O2" i="9" s="1"/>
  <c r="P2" i="9" s="1"/>
  <c r="Q2" i="9" s="1"/>
  <c r="R2" i="9" s="1"/>
  <c r="S2" i="9" s="1"/>
  <c r="T2" i="9" s="1"/>
  <c r="U2" i="9" s="1"/>
  <c r="V2" i="9" s="1"/>
  <c r="W2" i="9" s="1"/>
  <c r="X2" i="9" s="1"/>
  <c r="Y2" i="9" s="1"/>
  <c r="Z2" i="9" s="1"/>
  <c r="AA2" i="9" s="1"/>
  <c r="AB2" i="9" s="1"/>
  <c r="AC2" i="9" s="1"/>
  <c r="AD2" i="9" s="1"/>
  <c r="AE2" i="9" s="1"/>
  <c r="AF2" i="9" s="1"/>
  <c r="AG2" i="9" s="1"/>
  <c r="AH2" i="9" s="1"/>
  <c r="B29" i="10"/>
  <c r="S27" i="10"/>
  <c r="P27" i="10"/>
  <c r="F27" i="10"/>
  <c r="A27" i="10"/>
  <c r="K25" i="10"/>
  <c r="B25" i="10" s="1"/>
  <c r="A25" i="10"/>
  <c r="B24" i="10" a="1"/>
  <c r="B24" i="10" s="1"/>
  <c r="N23" i="10"/>
  <c r="B23" i="10"/>
  <c r="A23" i="10"/>
  <c r="B22" i="10" a="1"/>
  <c r="B22" i="10" s="1"/>
  <c r="W21" i="10"/>
  <c r="B21" i="10" s="1"/>
  <c r="A21" i="10"/>
  <c r="B20" i="10" a="1"/>
  <c r="B20" i="10" s="1"/>
  <c r="B19" i="10"/>
  <c r="A19" i="10"/>
  <c r="B18" i="10" a="1"/>
  <c r="B18" i="10" s="1"/>
  <c r="Z17" i="10"/>
  <c r="B17" i="10"/>
  <c r="A17" i="10"/>
  <c r="B16" i="10" a="1"/>
  <c r="B16" i="10" s="1"/>
  <c r="AF15" i="10"/>
  <c r="J15" i="10"/>
  <c r="D15" i="10"/>
  <c r="A15" i="10"/>
  <c r="B14" i="10" a="1"/>
  <c r="B14" i="10" s="1"/>
  <c r="M13" i="10"/>
  <c r="B13" i="10"/>
  <c r="A13" i="10"/>
  <c r="B12" i="10" a="1"/>
  <c r="B12" i="10" s="1"/>
  <c r="AC11" i="10"/>
  <c r="P11" i="10"/>
  <c r="B11" i="10"/>
  <c r="A11" i="10"/>
  <c r="Y9" i="10"/>
  <c r="K9" i="10"/>
  <c r="H9" i="10"/>
  <c r="B9" i="10" s="1"/>
  <c r="A9" i="10"/>
  <c r="B7" i="10"/>
  <c r="A7" i="10"/>
  <c r="B6" i="10" a="1"/>
  <c r="B6" i="10" s="1"/>
  <c r="AG5" i="10"/>
  <c r="S5" i="10"/>
  <c r="B5" i="10" s="1"/>
  <c r="A5" i="10"/>
  <c r="B4" i="10" a="1"/>
  <c r="B4" i="10" s="1"/>
  <c r="E2" i="10"/>
  <c r="F2" i="10" s="1"/>
  <c r="G2" i="10" s="1"/>
  <c r="H2" i="10" s="1"/>
  <c r="I2" i="10" s="1"/>
  <c r="J2" i="10" s="1"/>
  <c r="K2" i="10" s="1"/>
  <c r="L2" i="10" s="1"/>
  <c r="M2" i="10" s="1"/>
  <c r="N2" i="10" s="1"/>
  <c r="O2" i="10" s="1"/>
  <c r="P2" i="10" s="1"/>
  <c r="Q2" i="10" s="1"/>
  <c r="R2" i="10" s="1"/>
  <c r="S2" i="10" s="1"/>
  <c r="T2" i="10" s="1"/>
  <c r="U2" i="10" s="1"/>
  <c r="V2" i="10" s="1"/>
  <c r="W2" i="10" s="1"/>
  <c r="X2" i="10" s="1"/>
  <c r="Y2" i="10" s="1"/>
  <c r="Z2" i="10" s="1"/>
  <c r="AA2" i="10" s="1"/>
  <c r="AB2" i="10" s="1"/>
  <c r="AC2" i="10" s="1"/>
  <c r="AD2" i="10" s="1"/>
  <c r="AE2" i="10" s="1"/>
  <c r="AF2" i="10" s="1"/>
  <c r="AG2" i="10" s="1"/>
  <c r="AH2" i="10" s="1"/>
  <c r="B8" i="10" l="1" a="1"/>
  <c r="B8" i="10" s="1"/>
  <c r="B10" i="10" a="1"/>
  <c r="B10" i="10" s="1"/>
  <c r="B30" i="10" a="1"/>
  <c r="B30" i="10" s="1"/>
  <c r="B26" i="10" a="1"/>
  <c r="B26" i="10" s="1"/>
  <c r="B31" i="10"/>
  <c r="B12" i="9" a="1"/>
  <c r="B12" i="9" s="1"/>
  <c r="B16" i="9" a="1"/>
  <c r="B16" i="9" s="1"/>
  <c r="B24" i="9" a="1"/>
  <c r="B24" i="9" s="1"/>
  <c r="B26" i="9" a="1"/>
  <c r="B26" i="9" s="1"/>
  <c r="B31" i="13"/>
  <c r="B7" i="14"/>
  <c r="B30" i="14" a="1"/>
  <c r="B30" i="14" s="1"/>
  <c r="B31" i="16"/>
  <c r="B31" i="15"/>
  <c r="B11" i="4"/>
  <c r="B10" i="4" a="1"/>
  <c r="B10" i="4" s="1"/>
  <c r="B11" i="8"/>
  <c r="B26" i="8" a="1"/>
  <c r="B26" i="8" s="1"/>
  <c r="B30" i="7" a="1"/>
  <c r="B30" i="7" s="1"/>
  <c r="B15" i="7"/>
  <c r="B30" i="4" a="1"/>
  <c r="B30" i="4" s="1"/>
  <c r="B31" i="4" s="1"/>
  <c r="B15" i="3"/>
  <c r="B30" i="3" a="1"/>
  <c r="B30" i="3" s="1"/>
  <c r="B14" i="3" a="1"/>
  <c r="B14" i="3" s="1"/>
  <c r="B30" i="9" a="1"/>
  <c r="B30" i="9" s="1"/>
  <c r="B31" i="9" s="1"/>
  <c r="B12" i="6" a="1"/>
  <c r="B12" i="6" s="1"/>
  <c r="B22" i="6" a="1"/>
  <c r="B22" i="6" s="1"/>
  <c r="B30" i="6" a="1"/>
  <c r="B30" i="6" s="1"/>
  <c r="B31" i="6" s="1"/>
  <c r="B31" i="3"/>
  <c r="B7" i="1"/>
  <c r="B6" i="1" a="1"/>
  <c r="B6" i="1" s="1"/>
  <c r="B27" i="10"/>
  <c r="B13" i="9"/>
  <c r="B25" i="9"/>
  <c r="B15" i="10"/>
  <c r="B4" i="8" a="1"/>
  <c r="B4" i="8" s="1"/>
  <c r="B30" i="8" a="1"/>
  <c r="B30" i="8" s="1"/>
  <c r="B31" i="8" s="1"/>
  <c r="B13" i="8"/>
  <c r="B20" i="8" a="1"/>
  <c r="B20" i="8" s="1"/>
  <c r="B4" i="7" a="1"/>
  <c r="B4" i="7" s="1"/>
  <c r="B10" i="7" a="1"/>
  <c r="B10" i="7" s="1"/>
  <c r="B14" i="7" a="1"/>
  <c r="B14" i="7" s="1"/>
  <c r="B18" i="7" a="1"/>
  <c r="B18" i="7" s="1"/>
  <c r="B31" i="7"/>
  <c r="B14" i="5" a="1"/>
  <c r="B14" i="5" s="1"/>
  <c r="B30" i="5" a="1"/>
  <c r="B30" i="5" s="1"/>
  <c r="B31" i="5" s="1"/>
  <c r="B17" i="5"/>
  <c r="B16" i="5" a="1"/>
  <c r="B16" i="5" s="1"/>
  <c r="B5" i="5"/>
  <c r="B30" i="11" a="1"/>
  <c r="B30" i="11" s="1"/>
  <c r="B31" i="11" s="1"/>
  <c r="B5" i="11"/>
  <c r="B4" i="11" a="1"/>
  <c r="B4" i="11" s="1"/>
  <c r="B14" i="4" a="1"/>
  <c r="B14" i="4" s="1"/>
  <c r="B20" i="11" a="1"/>
  <c r="B20" i="11" s="1"/>
  <c r="B10" i="12" a="1"/>
  <c r="B10" i="12" s="1"/>
  <c r="B30" i="12" a="1"/>
  <c r="B30" i="12" s="1"/>
  <c r="B31" i="12" s="1"/>
  <c r="AA11" i="2"/>
  <c r="B11" i="2" s="1"/>
  <c r="B37" i="2" s="1"/>
  <c r="B39" i="2"/>
  <c r="B41" i="2"/>
  <c r="B31" i="1"/>
  <c r="B27" i="12"/>
  <c r="B31" i="14"/>
  <c r="B30" i="2" l="1" a="1"/>
  <c r="B30" i="2" s="1"/>
  <c r="B31" i="2" s="1"/>
</calcChain>
</file>

<file path=xl/sharedStrings.xml><?xml version="1.0" encoding="utf-8"?>
<sst xmlns="http://schemas.openxmlformats.org/spreadsheetml/2006/main" count="886" uniqueCount="24">
  <si>
    <t>Totale</t>
  </si>
  <si>
    <t>Gennaio</t>
  </si>
  <si>
    <t>+</t>
  </si>
  <si>
    <t>-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</si>
  <si>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</si>
  <si>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</si>
  <si>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</si>
  <si>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</si>
  <si>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</si>
  <si>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</si>
  <si>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</si>
  <si>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</si>
  <si>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</si>
  <si>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</si>
  <si>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</si>
  <si>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Incasso</t>
  </si>
  <si>
    <t>Spese</t>
  </si>
  <si>
    <t>In cassa</t>
  </si>
  <si>
    <t>IVA 1 di 4</t>
  </si>
  <si>
    <t>IVA 2 di 4</t>
  </si>
  <si>
    <t>IVA 3 di 4</t>
  </si>
  <si>
    <t>IVA 4 di 4</t>
  </si>
  <si>
    <t>N.B: La spesa del 21 ottobre si riferisce all'acquisto del registratore di cassa meno la vendita del vecchio</t>
  </si>
  <si>
    <t>Ristori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</si>
</sst>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mmm"/>
  </numFmts>
  <fonts count="16" x14ac:knownFonts="1">
    <font>
      <sz val="10"/>
      <name val="Arial"/>
    </font>
    <font>
      <b/>
      <sz val="10"/>
      <name val="Tahoma"/>
      <family val="2"/>
    </font>
    <font>
      <sz val="10"/>
      <name val="Tahoma"/>
      <family val="2"/>
    </font>
    <font>
      <b/>
      <sz val="10"/>
      <color indexed="17"/>
      <name val="Tahoma"/>
      <family val="2"/>
    </font>
    <font>
      <b/>
      <sz val="10"/>
      <color indexed="10"/>
      <name val="Tahoma"/>
      <family val="2"/>
    </font>
    <font>
      <sz val="10"/>
      <color indexed="10"/>
      <name val="Tahoma"/>
      <family val="2"/>
    </font>
    <font>
      <sz val="10"/>
      <color indexed="46"/>
      <name val="Tahoma"/>
      <family val="2"/>
    </font>
    <font>
      <sz val="10"/>
      <color indexed="14"/>
      <name val="Tahoma"/>
      <family val="2"/>
    </font>
    <font>
      <sz val="10"/>
      <color indexed="61"/>
      <name val="Tahoma"/>
      <family val="2"/>
    </font>
    <font>
      <sz val="10"/>
      <color indexed="12"/>
      <name val="Tahoma"/>
      <family val="2"/>
    </font>
    <font>
      <sz val="10"/>
      <color rgb="FFFF0000"/>
      <name val="Tahoma"/>
      <family val="2"/>
    </font>
    <font>
      <sz val="10"/>
      <color theme="0"/>
      <name val="Tahoma"/>
      <family val="2"/>
    </font>
    <font>
      <sz val="10"/>
      <color rgb="FF7030A0"/>
      <name val="Tahoma"/>
      <family val="2"/>
    </font>
    <font>
      <b/>
      <sz val="10"/>
      <color rgb="FF7030A0"/>
      <name val="Tahoma"/>
      <family val="2"/>
    </font>
    <font>
      <sz val="10"/>
      <color rgb="FF7030A0"/>
      <name val="Arial"/>
      <family val="2"/>
    </font>
    <font>
      <b/>
      <sz val="10"/>
      <color theme="6" tint="-0.249977111117893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2" fontId="2" fillId="0" borderId="0" xfId="0" applyNumberFormat="1" applyFont="1"/>
    <xf numFmtId="0" fontId="2" fillId="0" borderId="0" xfId="0" applyFont="1"/>
    <xf numFmtId="2" fontId="1" fillId="0" borderId="0" xfId="0" applyNumberFormat="1" applyFont="1"/>
    <xf numFmtId="2" fontId="3" fillId="0" borderId="0" xfId="0" applyNumberFormat="1" applyFont="1" applyAlignment="1">
      <alignment horizontal="center"/>
    </xf>
    <xf numFmtId="2" fontId="4" fillId="0" borderId="0" xfId="0" applyNumberFormat="1" applyFont="1"/>
    <xf numFmtId="0" fontId="5" fillId="0" borderId="0" xfId="0" applyFont="1" applyAlignment="1">
      <alignment horizontal="center"/>
    </xf>
    <xf numFmtId="2" fontId="5" fillId="0" borderId="0" xfId="0" applyNumberFormat="1" applyFont="1"/>
    <xf numFmtId="2" fontId="6" fillId="0" borderId="0" xfId="0" applyNumberFormat="1" applyFont="1"/>
    <xf numFmtId="0" fontId="5" fillId="0" borderId="0" xfId="0" applyFont="1"/>
    <xf numFmtId="2" fontId="7" fillId="0" borderId="0" xfId="0" applyNumberFormat="1" applyFont="1"/>
    <xf numFmtId="2" fontId="8" fillId="0" borderId="0" xfId="0" applyNumberFormat="1" applyFont="1"/>
    <xf numFmtId="2" fontId="9" fillId="0" borderId="0" xfId="0" applyNumberFormat="1" applyFont="1"/>
    <xf numFmtId="2" fontId="2" fillId="0" borderId="0" xfId="0" applyNumberFormat="1" applyFont="1" applyAlignment="1">
      <alignment horizontal="center"/>
    </xf>
    <xf numFmtId="2" fontId="3" fillId="0" borderId="0" xfId="0" applyNumberFormat="1" applyFont="1"/>
    <xf numFmtId="164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2" fontId="0" fillId="0" borderId="0" xfId="0" applyNumberFormat="1"/>
    <xf numFmtId="2" fontId="10" fillId="0" borderId="0" xfId="0" applyNumberFormat="1" applyFont="1"/>
    <xf numFmtId="2" fontId="11" fillId="0" borderId="0" xfId="0" applyNumberFormat="1" applyFont="1"/>
    <xf numFmtId="2" fontId="1" fillId="0" borderId="0" xfId="0" applyNumberFormat="1" applyFont="1" applyAlignment="1">
      <alignment horizontal="center"/>
    </xf>
    <xf numFmtId="2" fontId="12" fillId="0" borderId="0" xfId="0" applyNumberFormat="1" applyFont="1"/>
    <xf numFmtId="0" fontId="0" fillId="0" borderId="0" xfId="0" applyAlignment="1">
      <alignment horizontal="left"/>
    </xf>
    <xf numFmtId="0" fontId="15" fillId="0" borderId="0" xfId="0" applyFont="1"/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/>
  </cellXfs>
  <cellStyles count="1">
    <cellStyle name="Normale" xfId="0" builtinId="0"/>
  </cellStyles>
  <dxfs count="46"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31"/>
  <sheetViews>
    <sheetView topLeftCell="A13" workbookViewId="0">
      <selection activeCell="AA28" sqref="AA28"/>
    </sheetView>
  </sheetViews>
  <sheetFormatPr defaultRowHeight="12.75" x14ac:dyDescent="0.2"/>
  <cols>
    <col min="1" max="1" width="10.85546875" style="1" bestFit="1" customWidth="1"/>
    <col min="2" max="2" width="8.42578125" style="2" bestFit="1" customWidth="1"/>
    <col min="3" max="3" width="2.140625" style="3" bestFit="1" customWidth="1"/>
    <col min="4" max="4" width="6.5703125" style="4" bestFit="1" customWidth="1"/>
    <col min="5" max="5" width="5.5703125" style="4" bestFit="1" customWidth="1"/>
    <col min="6" max="6" width="6.5703125" style="4" bestFit="1" customWidth="1"/>
    <col min="7" max="7" width="5.5703125" style="4" bestFit="1" customWidth="1"/>
    <col min="8" max="9" width="6.5703125" style="4" bestFit="1" customWidth="1"/>
    <col min="10" max="10" width="5.5703125" style="4" bestFit="1" customWidth="1"/>
    <col min="11" max="11" width="6.5703125" style="4" bestFit="1" customWidth="1"/>
    <col min="12" max="12" width="5.5703125" style="4" bestFit="1" customWidth="1"/>
    <col min="13" max="14" width="6.5703125" style="4" bestFit="1" customWidth="1"/>
    <col min="15" max="15" width="5.5703125" style="4" bestFit="1" customWidth="1"/>
    <col min="16" max="16" width="6.5703125" style="4" bestFit="1" customWidth="1"/>
    <col min="17" max="18" width="5.5703125" style="4" bestFit="1" customWidth="1"/>
    <col min="19" max="19" width="6.5703125" style="4" bestFit="1" customWidth="1"/>
    <col min="20" max="21" width="5.5703125" style="4" bestFit="1" customWidth="1"/>
    <col min="22" max="23" width="6.5703125" style="4" bestFit="1" customWidth="1"/>
    <col min="24" max="24" width="5.5703125" style="4" bestFit="1" customWidth="1"/>
    <col min="25" max="27" width="6.5703125" style="4" bestFit="1" customWidth="1"/>
    <col min="28" max="28" width="5.5703125" style="4" bestFit="1" customWidth="1"/>
    <col min="29" max="30" width="6.5703125" style="4" bestFit="1" customWidth="1"/>
    <col min="31" max="31" width="5.5703125" style="4" bestFit="1" customWidth="1"/>
    <col min="32" max="33" width="6.5703125" style="4" bestFit="1" customWidth="1"/>
    <col min="34" max="34" width="5.5703125" style="4" bestFit="1" customWidth="1"/>
    <col min="35" max="16384" width="9.140625" style="5"/>
  </cols>
  <sheetData>
    <row r="2" spans="1:34" s="1" customFormat="1" x14ac:dyDescent="0.2">
      <c r="A2" s="1">
        <v>2004</v>
      </c>
      <c r="B2" s="1" t="s">
        <v>0</v>
      </c>
      <c r="D2" s="1">
        <v>1</v>
      </c>
      <c r="E2" s="1">
        <f t="shared" ref="E2:AH2" si="0">D2+1</f>
        <v>2</v>
      </c>
      <c r="F2" s="1">
        <f t="shared" si="0"/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4" spans="1:34" x14ac:dyDescent="0.2">
      <c r="A4" s="1" t="s">
        <v>1</v>
      </c>
      <c r="B4" s="6">
        <f t="array" ref="B4">SUM(D4:AH4-D5:AH5)</f>
        <v>147.61999999999995</v>
      </c>
      <c r="C4" s="3" t="s">
        <v>2</v>
      </c>
      <c r="E4" s="4">
        <v>12</v>
      </c>
      <c r="F4" s="4">
        <v>31.8</v>
      </c>
      <c r="H4" s="4">
        <v>13.05</v>
      </c>
      <c r="J4" s="4">
        <v>11.2</v>
      </c>
      <c r="K4" s="4">
        <v>20</v>
      </c>
      <c r="L4" s="4">
        <v>20.3</v>
      </c>
      <c r="M4" s="4">
        <v>56</v>
      </c>
      <c r="P4" s="4">
        <v>21.2</v>
      </c>
      <c r="Q4" s="4">
        <v>21.5</v>
      </c>
      <c r="R4" s="4">
        <v>17.600000000000001</v>
      </c>
      <c r="S4" s="4">
        <v>12.5</v>
      </c>
      <c r="T4" s="4">
        <v>18.75</v>
      </c>
      <c r="V4" s="4">
        <v>7</v>
      </c>
      <c r="W4" s="4">
        <v>10</v>
      </c>
      <c r="X4" s="4">
        <v>12.2</v>
      </c>
      <c r="Y4" s="4">
        <v>18.55</v>
      </c>
      <c r="Z4" s="4">
        <v>30.3</v>
      </c>
      <c r="AA4" s="4">
        <v>15.7</v>
      </c>
      <c r="AC4" s="4">
        <v>14</v>
      </c>
      <c r="AD4" s="4">
        <v>20.6</v>
      </c>
      <c r="AE4" s="4">
        <v>24.02</v>
      </c>
      <c r="AF4" s="4">
        <v>13.2</v>
      </c>
      <c r="AG4" s="4">
        <v>11.8</v>
      </c>
      <c r="AH4" s="4">
        <v>28.9</v>
      </c>
    </row>
    <row r="5" spans="1:34" s="12" customFormat="1" x14ac:dyDescent="0.2">
      <c r="A5" s="7">
        <f>SUM(D4:AH4)</f>
        <v>462.16999999999996</v>
      </c>
      <c r="B5" s="8">
        <f>SUM(D5:AH5)</f>
        <v>314.55</v>
      </c>
      <c r="C5" s="9" t="s">
        <v>3</v>
      </c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>
        <f>(88.06+33.18)</f>
        <v>121.24000000000001</v>
      </c>
      <c r="T5" s="10"/>
      <c r="U5" s="10"/>
      <c r="V5" s="10"/>
      <c r="W5" s="10"/>
      <c r="X5" s="10"/>
      <c r="Y5" s="10"/>
      <c r="Z5" s="10"/>
      <c r="AA5" s="10"/>
      <c r="AB5" s="10"/>
      <c r="AC5" s="10">
        <v>54</v>
      </c>
      <c r="AD5" s="10"/>
      <c r="AE5" s="10"/>
      <c r="AF5" s="10"/>
      <c r="AG5" s="10">
        <f>(43.98+95.33)</f>
        <v>139.31</v>
      </c>
      <c r="AH5" s="10"/>
    </row>
    <row r="6" spans="1:34" x14ac:dyDescent="0.2">
      <c r="A6" s="1" t="s">
        <v>4</v>
      </c>
      <c r="B6" s="6">
        <f t="array" ref="B6">SUM(D6:AH6-D7:AH7)</f>
        <v>523.92999999999995</v>
      </c>
      <c r="C6" s="3" t="s">
        <v>2</v>
      </c>
      <c r="E6" s="4">
        <v>13.4</v>
      </c>
      <c r="F6" s="4">
        <v>21.85</v>
      </c>
      <c r="G6" s="4">
        <v>29.55</v>
      </c>
      <c r="H6" s="4">
        <v>27.2</v>
      </c>
      <c r="I6" s="4">
        <v>10</v>
      </c>
      <c r="J6" s="4">
        <v>80.150000000000006</v>
      </c>
      <c r="M6" s="4">
        <v>11.2</v>
      </c>
      <c r="N6" s="4">
        <v>102.7</v>
      </c>
      <c r="O6" s="4">
        <v>21</v>
      </c>
      <c r="P6" s="4">
        <v>17.899999999999999</v>
      </c>
      <c r="Q6" s="4">
        <v>14.4</v>
      </c>
      <c r="S6" s="4">
        <v>18.899999999999999</v>
      </c>
      <c r="T6" s="4">
        <v>16</v>
      </c>
      <c r="U6" s="4">
        <v>26.8</v>
      </c>
      <c r="V6" s="4">
        <v>10</v>
      </c>
      <c r="W6" s="4">
        <v>12.5</v>
      </c>
      <c r="X6" s="4">
        <v>10</v>
      </c>
      <c r="Z6" s="4">
        <v>30.7</v>
      </c>
      <c r="AA6" s="4">
        <v>43</v>
      </c>
      <c r="AB6" s="4">
        <v>16.100000000000001</v>
      </c>
      <c r="AC6" s="4">
        <v>13.1</v>
      </c>
      <c r="AD6" s="4">
        <v>41.4</v>
      </c>
      <c r="AE6" s="4">
        <v>10.8</v>
      </c>
    </row>
    <row r="7" spans="1:34" s="12" customFormat="1" x14ac:dyDescent="0.2">
      <c r="A7" s="7">
        <f>SUM(D6:AH6)</f>
        <v>598.65</v>
      </c>
      <c r="B7" s="8">
        <f>SUM(D7:AH7)</f>
        <v>74.72</v>
      </c>
      <c r="C7" s="9" t="s">
        <v>3</v>
      </c>
      <c r="D7" s="10"/>
      <c r="E7" s="10"/>
      <c r="F7" s="10"/>
      <c r="G7" s="10"/>
      <c r="H7" s="13">
        <v>74.72</v>
      </c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185.81000000000003</v>
      </c>
      <c r="C8" s="3" t="s">
        <v>2</v>
      </c>
      <c r="E8" s="4">
        <v>24.56</v>
      </c>
      <c r="F8" s="4">
        <v>10</v>
      </c>
      <c r="G8" s="4">
        <v>33</v>
      </c>
      <c r="H8" s="4">
        <v>62.7</v>
      </c>
      <c r="I8" s="4">
        <v>11.8</v>
      </c>
      <c r="L8" s="4">
        <v>80.150000000000006</v>
      </c>
      <c r="M8" s="4">
        <v>61.6</v>
      </c>
      <c r="N8" s="4">
        <v>25</v>
      </c>
      <c r="O8" s="4">
        <v>40.200000000000003</v>
      </c>
      <c r="P8" s="4">
        <v>27.15</v>
      </c>
      <c r="S8" s="4">
        <v>21.85</v>
      </c>
      <c r="T8" s="4">
        <v>96</v>
      </c>
      <c r="U8" s="4">
        <v>39.9</v>
      </c>
      <c r="V8" s="4">
        <v>11.3</v>
      </c>
      <c r="W8" s="4">
        <v>62.85</v>
      </c>
      <c r="Y8" s="4">
        <v>19.7</v>
      </c>
      <c r="Z8" s="4">
        <v>13.15</v>
      </c>
      <c r="AA8" s="4">
        <v>19.2</v>
      </c>
      <c r="AB8" s="4">
        <v>65</v>
      </c>
      <c r="AC8" s="4">
        <v>53.4</v>
      </c>
      <c r="AD8" s="4">
        <v>15.9</v>
      </c>
      <c r="AF8" s="4">
        <v>13.45</v>
      </c>
      <c r="AG8" s="4">
        <v>13.8</v>
      </c>
      <c r="AH8" s="4">
        <v>25</v>
      </c>
    </row>
    <row r="9" spans="1:34" s="12" customFormat="1" x14ac:dyDescent="0.2">
      <c r="A9" s="7">
        <f>SUM(D8:AH8)</f>
        <v>846.66</v>
      </c>
      <c r="B9" s="8">
        <f>SUM(D9:AH9)</f>
        <v>660.85</v>
      </c>
      <c r="C9" s="9" t="s">
        <v>3</v>
      </c>
      <c r="D9" s="10"/>
      <c r="E9" s="10"/>
      <c r="F9" s="10"/>
      <c r="G9" s="10"/>
      <c r="H9" s="10">
        <f>(121.99)</f>
        <v>121.99</v>
      </c>
      <c r="I9" s="10"/>
      <c r="J9" s="10"/>
      <c r="K9" s="10">
        <f>(92.53+114.72)</f>
        <v>207.25</v>
      </c>
      <c r="L9" s="10"/>
      <c r="M9" s="10"/>
      <c r="N9" s="10"/>
      <c r="O9" s="10"/>
      <c r="P9" s="10"/>
      <c r="Q9" s="10"/>
      <c r="R9" s="10"/>
      <c r="S9" s="10">
        <v>36</v>
      </c>
      <c r="T9" s="10"/>
      <c r="U9" s="10"/>
      <c r="V9" s="10"/>
      <c r="W9" s="10"/>
      <c r="X9" s="10"/>
      <c r="Y9" s="10">
        <f>(51.46+161.68+82.47)</f>
        <v>295.61</v>
      </c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370.5800000000001</v>
      </c>
      <c r="C10" s="3" t="s">
        <v>2</v>
      </c>
      <c r="D10" s="4">
        <v>29.1</v>
      </c>
      <c r="E10" s="4">
        <v>98.1</v>
      </c>
      <c r="F10" s="4">
        <v>22</v>
      </c>
      <c r="H10" s="4">
        <v>14</v>
      </c>
      <c r="I10" s="4">
        <v>33.700000000000003</v>
      </c>
      <c r="J10" s="4">
        <v>20.8</v>
      </c>
      <c r="K10" s="4">
        <v>18</v>
      </c>
      <c r="L10" s="4">
        <v>97.3</v>
      </c>
      <c r="M10" s="4">
        <v>21.5</v>
      </c>
      <c r="P10" s="4">
        <v>13.9</v>
      </c>
      <c r="Q10" s="4">
        <v>7.3</v>
      </c>
      <c r="R10" s="4">
        <v>14.8</v>
      </c>
      <c r="S10" s="4">
        <v>88.4</v>
      </c>
      <c r="T10" s="4">
        <v>49</v>
      </c>
      <c r="V10" s="4">
        <v>21</v>
      </c>
      <c r="W10" s="4">
        <v>31.8</v>
      </c>
      <c r="X10" s="4">
        <v>91.3</v>
      </c>
      <c r="Y10" s="4">
        <v>19.8</v>
      </c>
      <c r="Z10" s="4">
        <v>29.9</v>
      </c>
      <c r="AA10" s="4">
        <v>30.2</v>
      </c>
      <c r="AC10" s="4">
        <v>5.7</v>
      </c>
      <c r="AD10" s="4">
        <v>18.95</v>
      </c>
      <c r="AE10" s="4">
        <v>22.1</v>
      </c>
      <c r="AF10" s="4">
        <v>33</v>
      </c>
      <c r="AG10" s="4">
        <v>14</v>
      </c>
    </row>
    <row r="11" spans="1:34" s="12" customFormat="1" x14ac:dyDescent="0.2">
      <c r="A11" s="7">
        <f>SUM(D10:AH10)</f>
        <v>845.65</v>
      </c>
      <c r="B11" s="8">
        <f>SUM(D11:AH11)</f>
        <v>475.06999999999994</v>
      </c>
      <c r="C11" s="9" t="s">
        <v>3</v>
      </c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>
        <f>(102.79+82.33)</f>
        <v>185.12</v>
      </c>
      <c r="Q11" s="10"/>
      <c r="R11" s="10">
        <v>42</v>
      </c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>
        <f>(103.63+97.2+25.85+10.99)</f>
        <v>237.67</v>
      </c>
      <c r="AD11" s="10">
        <v>10.28</v>
      </c>
      <c r="AE11" s="10"/>
      <c r="AF11" s="10"/>
      <c r="AG11" s="10"/>
      <c r="AH11" s="10"/>
    </row>
    <row r="12" spans="1:34" x14ac:dyDescent="0.2">
      <c r="A12" s="1" t="s">
        <v>7</v>
      </c>
      <c r="B12" s="6">
        <f t="array" ref="B12">SUM(D12:AH12-D13:AH13)</f>
        <v>530.7800000000002</v>
      </c>
      <c r="C12" s="3" t="s">
        <v>2</v>
      </c>
      <c r="F12" s="4">
        <v>96.2</v>
      </c>
      <c r="G12" s="4">
        <v>11.8</v>
      </c>
      <c r="H12" s="4">
        <v>20.55</v>
      </c>
      <c r="I12" s="4">
        <v>24</v>
      </c>
      <c r="J12" s="4">
        <v>10</v>
      </c>
      <c r="K12" s="4">
        <v>41.15</v>
      </c>
      <c r="M12" s="4">
        <v>53.7</v>
      </c>
      <c r="N12" s="4">
        <v>15.7</v>
      </c>
      <c r="O12" s="4">
        <v>73.7</v>
      </c>
      <c r="P12" s="4">
        <v>40.5</v>
      </c>
      <c r="Q12" s="4">
        <v>34.799999999999997</v>
      </c>
      <c r="R12" s="4">
        <v>27.9</v>
      </c>
      <c r="T12" s="4">
        <v>26.3</v>
      </c>
      <c r="U12" s="4">
        <v>31.1</v>
      </c>
      <c r="V12" s="4">
        <v>10</v>
      </c>
      <c r="W12" s="4">
        <v>30.75</v>
      </c>
      <c r="X12" s="4">
        <v>81.5</v>
      </c>
      <c r="Y12" s="4">
        <v>84.4</v>
      </c>
      <c r="AA12" s="4">
        <v>10</v>
      </c>
      <c r="AB12" s="4">
        <v>18.7</v>
      </c>
      <c r="AC12" s="4">
        <v>15</v>
      </c>
      <c r="AD12" s="4">
        <v>19.350000000000001</v>
      </c>
      <c r="AE12" s="4">
        <v>19</v>
      </c>
      <c r="AF12" s="4">
        <v>88.7</v>
      </c>
    </row>
    <row r="13" spans="1:34" s="12" customFormat="1" x14ac:dyDescent="0.2">
      <c r="A13" s="7">
        <f>SUM(D12:AH12)</f>
        <v>884.80000000000018</v>
      </c>
      <c r="B13" s="8">
        <f>SUM(D13:AH13)</f>
        <v>354.02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>
        <f>(111.31+124.58)</f>
        <v>235.89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>
        <v>118.13</v>
      </c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296.32</v>
      </c>
      <c r="C14" s="3" t="s">
        <v>2</v>
      </c>
      <c r="D14" s="4">
        <v>17.8</v>
      </c>
      <c r="F14" s="4">
        <v>42.3</v>
      </c>
      <c r="G14" s="4">
        <v>11.6</v>
      </c>
      <c r="H14" s="4">
        <v>51.1</v>
      </c>
      <c r="J14" s="4">
        <v>12</v>
      </c>
      <c r="K14" s="4">
        <v>71.45</v>
      </c>
      <c r="L14" s="4">
        <v>47.05</v>
      </c>
      <c r="M14" s="4">
        <v>32.1</v>
      </c>
      <c r="N14" s="4">
        <v>37.6</v>
      </c>
      <c r="O14" s="4">
        <v>30.2</v>
      </c>
      <c r="Q14" s="4">
        <v>16.3</v>
      </c>
      <c r="R14" s="4">
        <v>60.25</v>
      </c>
      <c r="S14" s="4">
        <v>15.4</v>
      </c>
      <c r="T14" s="4">
        <v>10.3</v>
      </c>
      <c r="U14" s="4">
        <v>28</v>
      </c>
      <c r="V14" s="4">
        <v>20</v>
      </c>
      <c r="X14" s="4">
        <v>15</v>
      </c>
      <c r="Y14" s="4">
        <v>13</v>
      </c>
      <c r="Z14" s="4">
        <v>15.6</v>
      </c>
      <c r="AA14" s="4">
        <v>162.69999999999999</v>
      </c>
      <c r="AB14" s="4">
        <v>12.2</v>
      </c>
      <c r="AC14" s="4">
        <v>25.2</v>
      </c>
      <c r="AE14" s="4">
        <v>11</v>
      </c>
      <c r="AF14" s="4">
        <v>26.2</v>
      </c>
      <c r="AG14" s="4">
        <v>38</v>
      </c>
    </row>
    <row r="15" spans="1:34" s="12" customFormat="1" x14ac:dyDescent="0.2">
      <c r="A15" s="7">
        <f>SUM(D14:AH14)</f>
        <v>822.35000000000014</v>
      </c>
      <c r="B15" s="8">
        <f>SUM(D15:AH15)</f>
        <v>526.03</v>
      </c>
      <c r="C15" s="9" t="s">
        <v>3</v>
      </c>
      <c r="D15" s="10">
        <f>(103.21+106.18)</f>
        <v>209.39</v>
      </c>
      <c r="E15" s="10"/>
      <c r="F15" s="10"/>
      <c r="G15" s="10"/>
      <c r="H15" s="10"/>
      <c r="I15" s="10"/>
      <c r="J15" s="10">
        <f>(34.39+37.92)</f>
        <v>72.31</v>
      </c>
      <c r="K15" s="10"/>
      <c r="L15" s="10"/>
      <c r="M15" s="13">
        <v>141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>
        <f>83.68+19.65</f>
        <v>103.33000000000001</v>
      </c>
      <c r="AG15" s="10"/>
      <c r="AH15" s="10"/>
    </row>
    <row r="16" spans="1:34" x14ac:dyDescent="0.2">
      <c r="A16" s="1" t="s">
        <v>9</v>
      </c>
      <c r="B16" s="6">
        <f t="array" ref="B16">SUM(D16:AH16-D17:AH17)</f>
        <v>300.52000000000004</v>
      </c>
      <c r="C16" s="3" t="s">
        <v>2</v>
      </c>
      <c r="D16" s="4">
        <v>15</v>
      </c>
      <c r="E16" s="4">
        <v>14.5</v>
      </c>
      <c r="F16" s="4">
        <v>19</v>
      </c>
      <c r="H16" s="4">
        <v>14.6</v>
      </c>
      <c r="I16" s="4">
        <v>12.4</v>
      </c>
      <c r="J16" s="4">
        <v>11.2</v>
      </c>
      <c r="K16" s="4">
        <v>10</v>
      </c>
      <c r="M16" s="4">
        <v>24.25</v>
      </c>
      <c r="P16" s="4">
        <v>11</v>
      </c>
      <c r="R16" s="4">
        <v>26.6</v>
      </c>
      <c r="S16" s="4">
        <v>25.8</v>
      </c>
      <c r="T16" s="4">
        <v>11</v>
      </c>
      <c r="W16" s="4">
        <v>11.2</v>
      </c>
      <c r="X16" s="4">
        <v>26.8</v>
      </c>
      <c r="Y16" s="4">
        <v>13.6</v>
      </c>
      <c r="Z16" s="4">
        <v>35.799999999999997</v>
      </c>
      <c r="AA16" s="4">
        <v>18</v>
      </c>
      <c r="AC16" s="4">
        <v>14</v>
      </c>
      <c r="AD16" s="4">
        <v>37.299999999999997</v>
      </c>
      <c r="AE16" s="4">
        <v>52</v>
      </c>
      <c r="AF16" s="4">
        <v>60.6</v>
      </c>
      <c r="AG16" s="4">
        <v>23</v>
      </c>
      <c r="AH16" s="4">
        <v>21.3</v>
      </c>
    </row>
    <row r="17" spans="1:34" s="12" customFormat="1" x14ac:dyDescent="0.2">
      <c r="A17" s="7">
        <f>SUM(D16:AH16)</f>
        <v>508.95000000000005</v>
      </c>
      <c r="B17" s="8">
        <f>SUM(D17:AH17)</f>
        <v>208.43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>
        <f>(120.16+88.27)</f>
        <v>208.43</v>
      </c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0</v>
      </c>
      <c r="C18" s="3" t="s">
        <v>2</v>
      </c>
    </row>
    <row r="19" spans="1:34" s="12" customFormat="1" x14ac:dyDescent="0.2">
      <c r="A19" s="7">
        <f>SUM(D18:AH18)</f>
        <v>0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323.18999999999994</v>
      </c>
      <c r="C20" s="3" t="s">
        <v>2</v>
      </c>
      <c r="J20" s="4">
        <v>16.600000000000001</v>
      </c>
      <c r="K20" s="4">
        <v>115.4</v>
      </c>
      <c r="L20" s="4">
        <v>13.6</v>
      </c>
      <c r="M20" s="4">
        <v>21.55</v>
      </c>
      <c r="N20" s="4">
        <v>20.5</v>
      </c>
      <c r="P20" s="4">
        <v>60.05</v>
      </c>
      <c r="Q20" s="4">
        <v>15</v>
      </c>
      <c r="R20" s="4">
        <v>33.9</v>
      </c>
      <c r="S20" s="4">
        <v>9.6999999999999993</v>
      </c>
      <c r="T20" s="4">
        <v>23.9</v>
      </c>
      <c r="U20" s="4">
        <v>65.95</v>
      </c>
      <c r="W20" s="4">
        <v>10</v>
      </c>
      <c r="X20" s="4">
        <v>49.1</v>
      </c>
      <c r="Y20" s="4">
        <v>51.1</v>
      </c>
      <c r="Z20" s="4">
        <v>48.05</v>
      </c>
      <c r="AA20" s="4">
        <v>19</v>
      </c>
      <c r="AD20" s="4">
        <v>14.25</v>
      </c>
      <c r="AE20" s="4">
        <v>25.1</v>
      </c>
      <c r="AF20" s="4">
        <v>6.45</v>
      </c>
      <c r="AG20" s="4">
        <v>12.4</v>
      </c>
    </row>
    <row r="21" spans="1:34" s="12" customFormat="1" x14ac:dyDescent="0.2">
      <c r="A21" s="7">
        <f>SUM(D20:AH20)</f>
        <v>631.6</v>
      </c>
      <c r="B21" s="8">
        <f>SUM(D21:AH21)</f>
        <v>308.40999999999997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W21" s="10">
        <f>149.42+158.99</f>
        <v>308.40999999999997</v>
      </c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482.25000000000011</v>
      </c>
      <c r="C22" s="3" t="s">
        <v>2</v>
      </c>
      <c r="D22" s="4">
        <v>12.16</v>
      </c>
      <c r="E22" s="4">
        <v>28.5</v>
      </c>
      <c r="G22" s="4">
        <v>19.7</v>
      </c>
      <c r="H22" s="4">
        <v>110.75</v>
      </c>
      <c r="I22" s="4">
        <v>9.1</v>
      </c>
      <c r="J22" s="4">
        <v>64.8</v>
      </c>
      <c r="K22" s="4">
        <v>12.4</v>
      </c>
      <c r="L22" s="4">
        <v>24.3</v>
      </c>
      <c r="N22" s="4">
        <v>12.3</v>
      </c>
      <c r="O22" s="4">
        <v>23.6</v>
      </c>
      <c r="P22" s="4">
        <v>28.1</v>
      </c>
      <c r="Q22" s="4">
        <v>49.1</v>
      </c>
      <c r="R22" s="4">
        <v>56.3</v>
      </c>
      <c r="S22" s="4">
        <v>17.100000000000001</v>
      </c>
      <c r="U22" s="4">
        <v>15.7</v>
      </c>
      <c r="V22" s="4">
        <v>28.1</v>
      </c>
      <c r="W22" s="4">
        <v>24.1</v>
      </c>
      <c r="X22" s="4">
        <v>51.6</v>
      </c>
      <c r="Y22" s="4">
        <v>25.9</v>
      </c>
      <c r="Z22" s="4">
        <v>20.6</v>
      </c>
      <c r="AB22" s="4">
        <v>15.5</v>
      </c>
      <c r="AC22" s="4">
        <v>21.6</v>
      </c>
      <c r="AD22" s="4">
        <v>65.150000000000006</v>
      </c>
      <c r="AE22" s="4">
        <v>77.599999999999994</v>
      </c>
      <c r="AF22" s="4">
        <v>17.75</v>
      </c>
      <c r="AG22" s="4">
        <v>23.35</v>
      </c>
    </row>
    <row r="23" spans="1:34" s="12" customFormat="1" x14ac:dyDescent="0.2">
      <c r="A23" s="7">
        <f>SUM(D22:AH22)</f>
        <v>855.1600000000002</v>
      </c>
      <c r="B23" s="8">
        <f>SUM(D23:AH23)</f>
        <v>372.90999999999997</v>
      </c>
      <c r="C23" s="9" t="s">
        <v>3</v>
      </c>
      <c r="D23" s="10"/>
      <c r="E23" s="10"/>
      <c r="F23" s="10"/>
      <c r="G23" s="10"/>
      <c r="I23" s="15">
        <v>100</v>
      </c>
      <c r="J23" s="10"/>
      <c r="K23" s="10"/>
      <c r="L23" s="10">
        <v>18.399999999999999</v>
      </c>
      <c r="M23" s="10"/>
      <c r="N23" s="10">
        <f>113.26+141.25</f>
        <v>254.51</v>
      </c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685.70000000000027</v>
      </c>
      <c r="C24" s="3" t="s">
        <v>2</v>
      </c>
      <c r="E24" s="4">
        <v>14</v>
      </c>
      <c r="F24" s="4">
        <v>22</v>
      </c>
      <c r="G24" s="4">
        <v>13.5</v>
      </c>
      <c r="H24" s="4">
        <v>85.4</v>
      </c>
      <c r="I24" s="4">
        <v>62.2</v>
      </c>
      <c r="K24" s="4">
        <v>7.5</v>
      </c>
      <c r="L24" s="4">
        <v>69.599999999999994</v>
      </c>
      <c r="M24" s="4">
        <v>139.4</v>
      </c>
      <c r="N24" s="4">
        <v>30</v>
      </c>
      <c r="O24" s="4">
        <v>74.099999999999994</v>
      </c>
      <c r="P24" s="4">
        <v>65.5</v>
      </c>
      <c r="R24" s="4">
        <v>12.7</v>
      </c>
      <c r="S24" s="4">
        <v>37.799999999999997</v>
      </c>
      <c r="T24" s="4">
        <v>55.5</v>
      </c>
      <c r="U24" s="4">
        <v>22.6</v>
      </c>
      <c r="V24" s="4">
        <v>43.1</v>
      </c>
      <c r="W24" s="4">
        <v>46.3</v>
      </c>
      <c r="Y24" s="4">
        <v>11</v>
      </c>
      <c r="Z24" s="4">
        <v>24.5</v>
      </c>
      <c r="AA24" s="4">
        <v>36.200000000000003</v>
      </c>
      <c r="AB24" s="4">
        <v>43.5</v>
      </c>
      <c r="AC24" s="4">
        <v>14.1</v>
      </c>
      <c r="AD24" s="4">
        <v>40.9</v>
      </c>
      <c r="AF24" s="4">
        <v>11.2</v>
      </c>
      <c r="AG24" s="4">
        <v>20</v>
      </c>
    </row>
    <row r="25" spans="1:34" s="12" customFormat="1" x14ac:dyDescent="0.2">
      <c r="A25" s="7">
        <f>SUM(D24:AH24)</f>
        <v>1002.6000000000001</v>
      </c>
      <c r="B25" s="8">
        <f>SUM(D25:AH25)</f>
        <v>316.89999999999998</v>
      </c>
      <c r="C25" s="9" t="s">
        <v>3</v>
      </c>
      <c r="D25" s="10"/>
      <c r="E25" s="10"/>
      <c r="F25" s="10"/>
      <c r="G25" s="10"/>
      <c r="H25" s="10"/>
      <c r="I25" s="10"/>
      <c r="J25" s="10"/>
      <c r="K25" s="10">
        <f>127.64+166.76+22.5</f>
        <v>316.89999999999998</v>
      </c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53.079999999999984</v>
      </c>
      <c r="C26" s="3" t="s">
        <v>2</v>
      </c>
      <c r="D26" s="4">
        <v>22.7</v>
      </c>
      <c r="E26" s="4">
        <v>24.65</v>
      </c>
      <c r="F26" s="4">
        <v>64.2</v>
      </c>
      <c r="G26" s="4">
        <v>25.85</v>
      </c>
      <c r="I26" s="4">
        <v>12.3</v>
      </c>
      <c r="J26" s="4">
        <v>24.6</v>
      </c>
      <c r="L26" s="4">
        <v>25.1</v>
      </c>
      <c r="M26" s="4">
        <v>36</v>
      </c>
      <c r="N26" s="4">
        <v>37.1</v>
      </c>
      <c r="P26" s="4">
        <v>19.899999999999999</v>
      </c>
      <c r="Q26" s="4">
        <v>34.450000000000003</v>
      </c>
      <c r="R26" s="4">
        <v>27.55</v>
      </c>
      <c r="S26" s="4">
        <v>42</v>
      </c>
      <c r="T26" s="4">
        <v>65.7</v>
      </c>
      <c r="U26" s="4">
        <v>68.400000000000006</v>
      </c>
      <c r="W26" s="4">
        <v>28.6</v>
      </c>
      <c r="X26" s="4">
        <v>32.799999999999997</v>
      </c>
      <c r="Y26" s="4">
        <v>77.7</v>
      </c>
      <c r="Z26" s="4">
        <v>88.55</v>
      </c>
      <c r="AA26" s="4">
        <v>50.4</v>
      </c>
      <c r="AD26" s="4">
        <v>23.1</v>
      </c>
      <c r="AE26" s="4">
        <v>42.75</v>
      </c>
      <c r="AF26" s="4">
        <v>30.2</v>
      </c>
      <c r="AG26" s="4">
        <v>43.7</v>
      </c>
      <c r="AH26" s="4">
        <v>21.6</v>
      </c>
    </row>
    <row r="27" spans="1:34" s="12" customFormat="1" x14ac:dyDescent="0.2">
      <c r="A27" s="7">
        <f>SUM(D26:AH26)</f>
        <v>969.90000000000009</v>
      </c>
      <c r="B27" s="8">
        <f>SUM(D27:AH27)</f>
        <v>916.82</v>
      </c>
      <c r="C27" s="9" t="s">
        <v>3</v>
      </c>
      <c r="D27" s="10"/>
      <c r="E27" s="10"/>
      <c r="F27" s="10">
        <f>180.65+35+95.68+34.6+164.28</f>
        <v>510.21000000000004</v>
      </c>
      <c r="G27" s="10"/>
      <c r="H27" s="10"/>
      <c r="I27" s="10"/>
      <c r="J27" s="10"/>
      <c r="K27" s="10"/>
      <c r="L27" s="10"/>
      <c r="M27" s="10"/>
      <c r="N27" s="10"/>
      <c r="O27" s="10"/>
      <c r="P27" s="10">
        <f>193.02+14.74</f>
        <v>207.76000000000002</v>
      </c>
      <c r="Q27" s="10"/>
      <c r="R27" s="10"/>
      <c r="S27" s="10">
        <f>158.5+40.35</f>
        <v>198.85</v>
      </c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s="3" customFormat="1" x14ac:dyDescent="0.2">
      <c r="A28" s="1"/>
      <c r="B28" s="1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8428.489999999998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4528.71</v>
      </c>
    </row>
    <row r="31" spans="1:34" x14ac:dyDescent="0.2">
      <c r="A31" s="1" t="s">
        <v>17</v>
      </c>
      <c r="B31" s="6">
        <f>B29-B30</f>
        <v>3899.7799999999979</v>
      </c>
    </row>
  </sheetData>
  <conditionalFormatting sqref="B31">
    <cfRule type="cellIs" dxfId="45" priority="1" stopIfTrue="1" operator="lessThanOrEqual">
      <formula>0</formula>
    </cfRule>
    <cfRule type="cellIs" dxfId="44" priority="2" stopIfTrue="1" operator="greaterThanOrEqual">
      <formula>0</formula>
    </cfRule>
  </conditionalFormatting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"/>
  <sheetViews>
    <sheetView workbookViewId="0">
      <selection activeCell="B31" sqref="B31"/>
    </sheetView>
  </sheetViews>
  <sheetFormatPr defaultRowHeight="12.75" x14ac:dyDescent="0.2"/>
  <cols>
    <col min="1" max="1" width="10.7109375" customWidth="1"/>
    <col min="2" max="2" width="8.42578125" customWidth="1"/>
    <col min="3" max="3" width="2.140625" customWidth="1"/>
    <col min="4" max="34" width="6.5703125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2013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-58.670000000000016</v>
      </c>
      <c r="C4" s="3" t="s">
        <v>2</v>
      </c>
      <c r="D4" s="4"/>
      <c r="E4" s="4">
        <v>25</v>
      </c>
      <c r="F4" s="4">
        <v>5.2</v>
      </c>
      <c r="G4" s="4">
        <v>7</v>
      </c>
      <c r="H4" s="4">
        <v>13</v>
      </c>
      <c r="I4" s="4"/>
      <c r="J4" s="4"/>
      <c r="K4" s="4">
        <v>113.5</v>
      </c>
      <c r="L4" s="4">
        <v>5.8</v>
      </c>
      <c r="M4" s="4"/>
      <c r="N4" s="4">
        <v>14.6</v>
      </c>
      <c r="O4" s="4">
        <v>14.2</v>
      </c>
      <c r="P4" s="4"/>
      <c r="Q4" s="4"/>
      <c r="R4" s="4">
        <v>10.199999999999999</v>
      </c>
      <c r="S4" s="4"/>
      <c r="T4" s="4">
        <v>10.8</v>
      </c>
      <c r="U4" s="4">
        <v>5.2</v>
      </c>
      <c r="V4" s="4"/>
      <c r="W4" s="4"/>
      <c r="X4" s="4">
        <v>12.4</v>
      </c>
      <c r="Y4" s="4">
        <v>5.6</v>
      </c>
      <c r="Z4" s="4">
        <v>8</v>
      </c>
      <c r="AA4" s="4">
        <v>29.4</v>
      </c>
      <c r="AB4" s="4">
        <v>6.2</v>
      </c>
      <c r="AC4" s="4">
        <v>9</v>
      </c>
      <c r="AD4" s="4"/>
      <c r="AE4" s="4"/>
      <c r="AF4" s="4">
        <v>18</v>
      </c>
      <c r="AG4" s="4">
        <v>14.4</v>
      </c>
      <c r="AH4" s="4">
        <v>10.7</v>
      </c>
    </row>
    <row r="5" spans="1:34" x14ac:dyDescent="0.2">
      <c r="A5" s="7">
        <f>SUM(D4:AH4)</f>
        <v>338.19999999999993</v>
      </c>
      <c r="B5" s="8">
        <f>SUM(D5:AH5)</f>
        <v>396.87</v>
      </c>
      <c r="C5" s="9" t="s">
        <v>3</v>
      </c>
      <c r="D5" s="10"/>
      <c r="E5" s="10"/>
      <c r="F5" s="11"/>
      <c r="G5" s="10"/>
      <c r="H5" s="10"/>
      <c r="I5" s="10"/>
      <c r="J5" s="10">
        <f>188.93+207.94</f>
        <v>396.87</v>
      </c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131.80000000000001</v>
      </c>
      <c r="C6" s="3" t="s">
        <v>2</v>
      </c>
      <c r="D6" s="4">
        <v>8.4</v>
      </c>
      <c r="E6" s="4">
        <v>10</v>
      </c>
      <c r="F6" s="4"/>
      <c r="G6" s="4"/>
      <c r="H6" s="4">
        <v>8.8000000000000007</v>
      </c>
      <c r="I6" s="4"/>
      <c r="J6" s="4"/>
      <c r="K6" s="4">
        <v>6.8</v>
      </c>
      <c r="L6" s="4">
        <v>16.899999999999999</v>
      </c>
      <c r="M6" s="4"/>
      <c r="N6" s="4"/>
      <c r="O6" s="4"/>
      <c r="P6" s="4">
        <v>14.1</v>
      </c>
      <c r="Q6" s="4">
        <v>16</v>
      </c>
      <c r="R6" s="4"/>
      <c r="S6" s="4">
        <v>15</v>
      </c>
      <c r="T6" s="4"/>
      <c r="U6" s="4">
        <v>8.9</v>
      </c>
      <c r="V6" s="4">
        <v>11.2</v>
      </c>
      <c r="W6" s="4">
        <v>13.5</v>
      </c>
      <c r="X6" s="4">
        <v>12.3</v>
      </c>
      <c r="Y6" s="4">
        <v>44.3</v>
      </c>
      <c r="Z6" s="4">
        <v>20.2</v>
      </c>
      <c r="AA6" s="4"/>
      <c r="AB6" s="4"/>
      <c r="AC6" s="4">
        <v>8.6</v>
      </c>
      <c r="AD6" s="4">
        <v>20</v>
      </c>
      <c r="AE6" s="4">
        <v>10.8</v>
      </c>
      <c r="AF6" s="4"/>
      <c r="AG6" s="4"/>
      <c r="AH6" s="4"/>
    </row>
    <row r="7" spans="1:34" x14ac:dyDescent="0.2">
      <c r="A7" s="7">
        <f>SUM(D6:AH6)</f>
        <v>245.80000000000004</v>
      </c>
      <c r="B7" s="8">
        <f>SUM(D7:AH7)</f>
        <v>114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>
        <v>114</v>
      </c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336.5</v>
      </c>
      <c r="C8" s="3" t="s">
        <v>2</v>
      </c>
      <c r="D8" s="4"/>
      <c r="E8" s="4">
        <v>11.9</v>
      </c>
      <c r="F8" s="4"/>
      <c r="G8" s="4">
        <v>17.899999999999999</v>
      </c>
      <c r="H8" s="4">
        <v>3</v>
      </c>
      <c r="I8" s="4">
        <v>20.2</v>
      </c>
      <c r="J8" s="4"/>
      <c r="K8" s="4">
        <v>22.6</v>
      </c>
      <c r="L8" s="4">
        <v>29.6</v>
      </c>
      <c r="M8" s="4"/>
      <c r="N8" s="4"/>
      <c r="O8" s="4">
        <v>36.200000000000003</v>
      </c>
      <c r="P8" s="4">
        <v>7</v>
      </c>
      <c r="Q8" s="4"/>
      <c r="R8" s="4"/>
      <c r="S8" s="4">
        <v>15</v>
      </c>
      <c r="T8" s="4"/>
      <c r="U8" s="4"/>
      <c r="V8" s="4">
        <v>16.899999999999999</v>
      </c>
      <c r="W8" s="4">
        <v>31.6</v>
      </c>
      <c r="X8" s="4">
        <v>70.599999999999994</v>
      </c>
      <c r="Y8" s="4"/>
      <c r="Z8" s="4">
        <v>23</v>
      </c>
      <c r="AA8" s="4"/>
      <c r="AB8" s="4"/>
      <c r="AC8" s="4">
        <v>19</v>
      </c>
      <c r="AD8" s="4"/>
      <c r="AE8" s="4">
        <v>12</v>
      </c>
      <c r="AF8" s="4"/>
      <c r="AG8" s="4"/>
      <c r="AH8" s="4"/>
    </row>
    <row r="9" spans="1:34" x14ac:dyDescent="0.2">
      <c r="A9" s="7">
        <f>SUM(D8:AH8)</f>
        <v>336.5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-36.90000000000007</v>
      </c>
      <c r="C10" s="3" t="s">
        <v>2</v>
      </c>
      <c r="D10" s="4"/>
      <c r="E10" s="4"/>
      <c r="F10" s="4">
        <v>22.2</v>
      </c>
      <c r="G10" s="4">
        <v>13.8</v>
      </c>
      <c r="H10" s="4">
        <v>5.7</v>
      </c>
      <c r="I10" s="4">
        <v>25.4</v>
      </c>
      <c r="J10" s="4"/>
      <c r="K10" s="4"/>
      <c r="L10" s="4">
        <v>29.25</v>
      </c>
      <c r="M10" s="4"/>
      <c r="N10" s="4">
        <v>12.5</v>
      </c>
      <c r="O10" s="4"/>
      <c r="P10" s="4">
        <v>10</v>
      </c>
      <c r="Q10" s="4"/>
      <c r="R10" s="4"/>
      <c r="S10" s="4">
        <v>19.399999999999999</v>
      </c>
      <c r="T10" s="4">
        <v>12.4</v>
      </c>
      <c r="U10" s="4">
        <v>4.9000000000000004</v>
      </c>
      <c r="V10" s="4">
        <v>8.6</v>
      </c>
      <c r="W10" s="4"/>
      <c r="X10" s="4"/>
      <c r="Y10" s="4">
        <v>65.400000000000006</v>
      </c>
      <c r="Z10" s="4"/>
      <c r="AA10" s="4">
        <v>4.8</v>
      </c>
      <c r="AB10" s="4"/>
      <c r="AC10" s="4"/>
      <c r="AD10" s="4">
        <v>18.2</v>
      </c>
      <c r="AE10" s="4"/>
      <c r="AF10" s="4">
        <v>55</v>
      </c>
      <c r="AG10" s="4">
        <v>49.9</v>
      </c>
      <c r="AH10" s="4"/>
    </row>
    <row r="11" spans="1:34" x14ac:dyDescent="0.2">
      <c r="A11" s="7">
        <f>SUM(D10:AH10)</f>
        <v>357.45</v>
      </c>
      <c r="B11" s="8">
        <f>SUM(D11:AH11)</f>
        <v>394.35</v>
      </c>
      <c r="C11" s="9" t="s">
        <v>3</v>
      </c>
      <c r="D11" s="11"/>
      <c r="E11" s="10"/>
      <c r="F11" s="10"/>
      <c r="G11" s="10"/>
      <c r="H11" s="10">
        <f>226.91+106.78+60.66</f>
        <v>394.35</v>
      </c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268.2</v>
      </c>
      <c r="C12" s="3" t="s">
        <v>2</v>
      </c>
      <c r="D12" s="4"/>
      <c r="E12" s="4">
        <v>20.8</v>
      </c>
      <c r="F12" s="4">
        <v>10.7</v>
      </c>
      <c r="G12" s="4">
        <v>8</v>
      </c>
      <c r="H12" s="4"/>
      <c r="I12" s="4">
        <v>5.0999999999999996</v>
      </c>
      <c r="J12" s="4">
        <v>10.8</v>
      </c>
      <c r="K12" s="4"/>
      <c r="L12" s="4">
        <v>8</v>
      </c>
      <c r="M12" s="4">
        <v>8.4</v>
      </c>
      <c r="N12" s="4"/>
      <c r="O12" s="4"/>
      <c r="P12" s="4">
        <v>8.1999999999999993</v>
      </c>
      <c r="Q12" s="4">
        <v>8.9</v>
      </c>
      <c r="R12" s="4"/>
      <c r="S12" s="4">
        <v>15.3</v>
      </c>
      <c r="T12" s="4">
        <v>27.7</v>
      </c>
      <c r="U12" s="4">
        <v>18</v>
      </c>
      <c r="V12" s="4"/>
      <c r="W12" s="4">
        <v>13.5</v>
      </c>
      <c r="X12" s="4">
        <v>10.6</v>
      </c>
      <c r="Y12" s="4"/>
      <c r="Z12" s="4">
        <v>22.3</v>
      </c>
      <c r="AA12" s="4">
        <v>8.8000000000000007</v>
      </c>
      <c r="AB12" s="4">
        <v>8</v>
      </c>
      <c r="AC12" s="4"/>
      <c r="AD12" s="4"/>
      <c r="AE12" s="4">
        <v>35.6</v>
      </c>
      <c r="AF12" s="4">
        <v>8.8000000000000007</v>
      </c>
      <c r="AG12" s="4">
        <v>10.7</v>
      </c>
      <c r="AH12" s="4"/>
    </row>
    <row r="13" spans="1:34" x14ac:dyDescent="0.2">
      <c r="A13" s="7">
        <f>SUM(D12:AH12)</f>
        <v>268.2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225.10000000000002</v>
      </c>
      <c r="C14" s="3" t="s">
        <v>2</v>
      </c>
      <c r="D14" s="4">
        <v>9.6</v>
      </c>
      <c r="E14" s="4"/>
      <c r="F14" s="4"/>
      <c r="G14" s="4"/>
      <c r="H14" s="4">
        <v>7.8</v>
      </c>
      <c r="I14" s="4">
        <v>48.3</v>
      </c>
      <c r="J14" s="4"/>
      <c r="K14" s="4">
        <v>10.3</v>
      </c>
      <c r="L14" s="4"/>
      <c r="M14" s="4">
        <v>30.8</v>
      </c>
      <c r="N14" s="4">
        <v>11.5</v>
      </c>
      <c r="O14" s="4">
        <v>18.399999999999999</v>
      </c>
      <c r="P14" s="4">
        <v>8.8000000000000007</v>
      </c>
      <c r="Q14" s="4"/>
      <c r="R14" s="4">
        <v>10.4</v>
      </c>
      <c r="S14" s="4"/>
      <c r="T14" s="4"/>
      <c r="U14" s="4">
        <v>27.8</v>
      </c>
      <c r="V14" s="4">
        <v>11.5</v>
      </c>
      <c r="W14" s="4"/>
      <c r="X14" s="4"/>
      <c r="Y14" s="4">
        <v>12</v>
      </c>
      <c r="Z14" s="4"/>
      <c r="AA14" s="4">
        <v>8.4</v>
      </c>
      <c r="AB14" s="4"/>
      <c r="AC14" s="4">
        <v>9.5</v>
      </c>
      <c r="AD14" s="4"/>
      <c r="AE14" s="4"/>
      <c r="AF14" s="4"/>
      <c r="AG14" s="4"/>
      <c r="AH14" s="4"/>
    </row>
    <row r="15" spans="1:34" x14ac:dyDescent="0.2">
      <c r="A15" s="7">
        <f>SUM(D14:AH14)</f>
        <v>225.10000000000002</v>
      </c>
      <c r="B15" s="8">
        <f>SUM(D15:AH15)</f>
        <v>0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260.7</v>
      </c>
      <c r="C16" s="3" t="s">
        <v>2</v>
      </c>
      <c r="D16" s="4"/>
      <c r="E16" s="4">
        <v>8.5</v>
      </c>
      <c r="F16" s="4">
        <v>64</v>
      </c>
      <c r="G16" s="4"/>
      <c r="H16" s="4">
        <v>13.5</v>
      </c>
      <c r="I16" s="4"/>
      <c r="J16" s="4"/>
      <c r="K16" s="4"/>
      <c r="L16" s="4">
        <v>32</v>
      </c>
      <c r="M16" s="4"/>
      <c r="N16" s="4">
        <v>8</v>
      </c>
      <c r="O16" s="4">
        <v>16.2</v>
      </c>
      <c r="P16" s="4"/>
      <c r="Q16" s="4"/>
      <c r="R16" s="4"/>
      <c r="S16" s="4"/>
      <c r="T16" s="4">
        <v>8.1999999999999993</v>
      </c>
      <c r="U16" s="4">
        <v>11</v>
      </c>
      <c r="V16" s="4"/>
      <c r="W16" s="4"/>
      <c r="X16" s="4"/>
      <c r="Y16" s="4">
        <v>8</v>
      </c>
      <c r="Z16" s="4"/>
      <c r="AA16" s="4">
        <v>77</v>
      </c>
      <c r="AB16" s="4"/>
      <c r="AC16" s="4">
        <v>6.3</v>
      </c>
      <c r="AD16" s="4"/>
      <c r="AE16" s="4"/>
      <c r="AF16" s="4"/>
      <c r="AG16" s="4">
        <v>8</v>
      </c>
      <c r="AH16" s="4"/>
    </row>
    <row r="17" spans="1:34" x14ac:dyDescent="0.2">
      <c r="A17" s="7">
        <f>SUM(D16:AH16)</f>
        <v>260.7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7.2</v>
      </c>
      <c r="C18" s="3" t="s">
        <v>2</v>
      </c>
      <c r="D18" s="4"/>
      <c r="E18" s="4"/>
      <c r="F18" s="4">
        <v>7.2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7.2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-207.35999999999987</v>
      </c>
      <c r="C20" s="3" t="s">
        <v>2</v>
      </c>
      <c r="D20" s="4"/>
      <c r="E20" s="4"/>
      <c r="F20" s="4"/>
      <c r="G20" s="4"/>
      <c r="H20" s="4"/>
      <c r="I20" s="4">
        <v>47.2</v>
      </c>
      <c r="J20" s="4"/>
      <c r="K20" s="4"/>
      <c r="L20" s="4">
        <v>13.2</v>
      </c>
      <c r="M20" s="4"/>
      <c r="N20" s="4">
        <v>14</v>
      </c>
      <c r="O20" s="4">
        <v>15.95</v>
      </c>
      <c r="P20" s="4"/>
      <c r="Q20" s="4"/>
      <c r="R20" s="4"/>
      <c r="S20" s="4">
        <v>31.6</v>
      </c>
      <c r="T20" s="4">
        <v>11</v>
      </c>
      <c r="U20" s="4"/>
      <c r="V20" s="4">
        <v>40.299999999999997</v>
      </c>
      <c r="W20" s="4">
        <v>33.1</v>
      </c>
      <c r="X20" s="4">
        <v>21.3</v>
      </c>
      <c r="Y20" s="4"/>
      <c r="Z20" s="4"/>
      <c r="AA20" s="4"/>
      <c r="AB20" s="4">
        <v>86</v>
      </c>
      <c r="AC20" s="4"/>
      <c r="AD20" s="4">
        <v>8.6</v>
      </c>
      <c r="AE20" s="4">
        <v>12.7</v>
      </c>
      <c r="AF20" s="4"/>
      <c r="AG20" s="4"/>
      <c r="AH20" s="4"/>
    </row>
    <row r="21" spans="1:34" x14ac:dyDescent="0.2">
      <c r="A21" s="7">
        <f>SUM(D20:AH20)</f>
        <v>334.95</v>
      </c>
      <c r="B21" s="8">
        <f>SUM(D21:AH21)</f>
        <v>542.30999999999995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>
        <f>317.88+168.03+56.4</f>
        <v>542.30999999999995</v>
      </c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334.65</v>
      </c>
      <c r="C22" s="3" t="s">
        <v>2</v>
      </c>
      <c r="D22" s="4">
        <v>8.1999999999999993</v>
      </c>
      <c r="E22" s="4">
        <v>6</v>
      </c>
      <c r="F22" s="4">
        <v>28.6</v>
      </c>
      <c r="G22" s="4"/>
      <c r="H22" s="4">
        <v>44.2</v>
      </c>
      <c r="I22" s="4"/>
      <c r="J22" s="4"/>
      <c r="K22" s="4">
        <v>20.6</v>
      </c>
      <c r="L22" s="4">
        <v>33.299999999999997</v>
      </c>
      <c r="M22" s="4">
        <v>8.4</v>
      </c>
      <c r="N22" s="4">
        <v>26.65</v>
      </c>
      <c r="O22" s="4"/>
      <c r="P22" s="4"/>
      <c r="Q22" s="4"/>
      <c r="R22" s="4">
        <v>22</v>
      </c>
      <c r="S22" s="4"/>
      <c r="T22" s="4">
        <v>39.299999999999997</v>
      </c>
      <c r="U22" s="4">
        <v>8.5</v>
      </c>
      <c r="V22" s="4"/>
      <c r="W22" s="4"/>
      <c r="X22" s="4">
        <v>6.3</v>
      </c>
      <c r="Y22" s="4"/>
      <c r="Z22" s="4">
        <v>22</v>
      </c>
      <c r="AA22" s="4">
        <v>9.5</v>
      </c>
      <c r="AB22" s="4">
        <v>11.2</v>
      </c>
      <c r="AC22" s="4">
        <v>8.5</v>
      </c>
      <c r="AD22" s="4"/>
      <c r="AE22" s="4"/>
      <c r="AF22" s="4"/>
      <c r="AG22" s="4">
        <v>31.4</v>
      </c>
      <c r="AH22" s="4"/>
    </row>
    <row r="23" spans="1:34" x14ac:dyDescent="0.2">
      <c r="A23" s="7">
        <f>SUM(D22:AH22)</f>
        <v>334.65</v>
      </c>
      <c r="B23" s="8">
        <f>SUM(D23:AH23)</f>
        <v>0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-241.01999999999998</v>
      </c>
      <c r="C24" s="3" t="s">
        <v>2</v>
      </c>
      <c r="D24" s="4"/>
      <c r="E24" s="4"/>
      <c r="F24" s="4"/>
      <c r="G24" s="4"/>
      <c r="H24" s="4">
        <v>17.3</v>
      </c>
      <c r="I24" s="4">
        <v>6.15</v>
      </c>
      <c r="J24" s="4">
        <v>17</v>
      </c>
      <c r="K24" s="4"/>
      <c r="L24" s="4">
        <v>19.7</v>
      </c>
      <c r="M24" s="4"/>
      <c r="N24" s="4"/>
      <c r="O24" s="4">
        <v>112.7</v>
      </c>
      <c r="P24" s="4">
        <v>16.8</v>
      </c>
      <c r="Q24" s="4">
        <v>39.200000000000003</v>
      </c>
      <c r="R24" s="4">
        <v>8</v>
      </c>
      <c r="S24" s="4">
        <v>68</v>
      </c>
      <c r="T24" s="4"/>
      <c r="U24" s="4"/>
      <c r="V24" s="4"/>
      <c r="W24" s="4">
        <v>8</v>
      </c>
      <c r="X24" s="4">
        <v>6</v>
      </c>
      <c r="Y24" s="4"/>
      <c r="Z24" s="4"/>
      <c r="AA24" s="4"/>
      <c r="AB24" s="4">
        <v>6.3</v>
      </c>
      <c r="AC24" s="4">
        <v>58.1</v>
      </c>
      <c r="AD24" s="4">
        <v>33.9</v>
      </c>
      <c r="AE24" s="4"/>
      <c r="AF24" s="4">
        <v>27.5</v>
      </c>
      <c r="AG24" s="4">
        <v>22.7</v>
      </c>
      <c r="AH24" s="4"/>
    </row>
    <row r="25" spans="1:34" x14ac:dyDescent="0.2">
      <c r="A25" s="7">
        <f>SUM(D24:AH24)</f>
        <v>467.35</v>
      </c>
      <c r="B25" s="8">
        <f>SUM(D25:AH25)</f>
        <v>708.37</v>
      </c>
      <c r="C25" s="9" t="s">
        <v>3</v>
      </c>
      <c r="D25" s="10"/>
      <c r="E25" s="10"/>
      <c r="F25" s="10"/>
      <c r="G25" s="10"/>
      <c r="H25" s="10"/>
      <c r="I25" s="10"/>
      <c r="J25" s="10"/>
      <c r="K25" s="10">
        <f>300.67+195.83+73.87</f>
        <v>570.37</v>
      </c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>
        <v>138</v>
      </c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-22.020000000000024</v>
      </c>
      <c r="C26" s="3" t="s">
        <v>2</v>
      </c>
      <c r="D26" s="4"/>
      <c r="E26" s="4">
        <v>10.5</v>
      </c>
      <c r="F26" s="4">
        <v>8.3000000000000007</v>
      </c>
      <c r="G26" s="4">
        <v>39.4</v>
      </c>
      <c r="H26" s="4">
        <v>14.1</v>
      </c>
      <c r="I26" s="4">
        <v>50.4</v>
      </c>
      <c r="J26" s="4">
        <v>12.3</v>
      </c>
      <c r="K26" s="4"/>
      <c r="L26" s="4"/>
      <c r="M26" s="4">
        <v>12</v>
      </c>
      <c r="N26" s="4">
        <v>40</v>
      </c>
      <c r="O26" s="4">
        <v>12.5</v>
      </c>
      <c r="P26" s="4"/>
      <c r="Q26" s="4">
        <v>130</v>
      </c>
      <c r="R26" s="4"/>
      <c r="S26" s="4"/>
      <c r="T26" s="4">
        <v>11.5</v>
      </c>
      <c r="U26" s="4">
        <v>27.5</v>
      </c>
      <c r="V26" s="4">
        <v>44.5</v>
      </c>
      <c r="W26" s="4"/>
      <c r="X26" s="4">
        <v>32</v>
      </c>
      <c r="Y26" s="4"/>
      <c r="Z26" s="4">
        <v>21</v>
      </c>
      <c r="AA26" s="4">
        <v>16.2</v>
      </c>
      <c r="AB26" s="4"/>
      <c r="AC26" s="4"/>
      <c r="AD26" s="4">
        <v>19.3</v>
      </c>
      <c r="AE26" s="4">
        <v>13.7</v>
      </c>
      <c r="AF26" s="4"/>
      <c r="AG26" s="4">
        <v>4.0999999999999996</v>
      </c>
      <c r="AH26" s="4">
        <v>8.9</v>
      </c>
    </row>
    <row r="27" spans="1:34" x14ac:dyDescent="0.2">
      <c r="A27" s="7">
        <f>SUM(D26:AH26)</f>
        <v>528.20000000000005</v>
      </c>
      <c r="B27" s="8">
        <f>SUM(D27:AH27)</f>
        <v>550.22</v>
      </c>
      <c r="C27" s="9" t="s">
        <v>3</v>
      </c>
      <c r="D27" s="10"/>
      <c r="E27" s="10"/>
      <c r="F27" s="10"/>
      <c r="G27" s="10"/>
      <c r="H27" s="12"/>
      <c r="I27" s="11"/>
      <c r="J27" s="10"/>
      <c r="K27" s="10"/>
      <c r="L27" s="10">
        <f>261.41+233.79+55.02</f>
        <v>550.22</v>
      </c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3704.2999999999997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2706.12</v>
      </c>
    </row>
    <row r="31" spans="1:34" x14ac:dyDescent="0.2">
      <c r="A31" s="1" t="s">
        <v>17</v>
      </c>
      <c r="B31" s="6">
        <f>B29-B30</f>
        <v>998.17999999999984</v>
      </c>
    </row>
  </sheetData>
  <conditionalFormatting sqref="B31">
    <cfRule type="cellIs" dxfId="27" priority="1" stopIfTrue="1" operator="lessThanOrEqual">
      <formula>0</formula>
    </cfRule>
    <cfRule type="cellIs" dxfId="26" priority="2" stopIfTrue="1" operator="greaterThanOrEqual">
      <formula>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"/>
  <sheetViews>
    <sheetView workbookViewId="0">
      <selection activeCell="J18" sqref="J18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5" width="5.7109375" bestFit="1" customWidth="1"/>
    <col min="6" max="7" width="6.5703125" bestFit="1" customWidth="1"/>
    <col min="8" max="8" width="6.7109375" bestFit="1" customWidth="1"/>
    <col min="9" max="9" width="5.7109375" bestFit="1" customWidth="1"/>
    <col min="10" max="12" width="6.7109375" bestFit="1" customWidth="1"/>
    <col min="13" max="13" width="5.7109375" bestFit="1" customWidth="1"/>
    <col min="14" max="14" width="6.5703125" bestFit="1" customWidth="1"/>
    <col min="15" max="15" width="6.7109375" bestFit="1" customWidth="1"/>
    <col min="16" max="16" width="5.7109375" bestFit="1" customWidth="1"/>
    <col min="17" max="17" width="6.7109375" bestFit="1" customWidth="1"/>
    <col min="18" max="18" width="6.5703125" bestFit="1" customWidth="1"/>
    <col min="19" max="21" width="6.7109375" bestFit="1" customWidth="1"/>
    <col min="22" max="23" width="5.7109375" bestFit="1" customWidth="1"/>
    <col min="24" max="24" width="6.7109375" bestFit="1" customWidth="1"/>
    <col min="25" max="26" width="5.7109375" bestFit="1" customWidth="1"/>
    <col min="27" max="28" width="6.7109375" bestFit="1" customWidth="1"/>
    <col min="29" max="30" width="5.7109375" bestFit="1" customWidth="1"/>
    <col min="31" max="31" width="6.5703125" bestFit="1" customWidth="1"/>
    <col min="32" max="33" width="5.7109375" bestFit="1" customWidth="1"/>
    <col min="34" max="34" width="5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2014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235.05000000000004</v>
      </c>
      <c r="C4" s="3" t="s">
        <v>2</v>
      </c>
      <c r="D4" s="4"/>
      <c r="E4" s="4"/>
      <c r="F4" s="4"/>
      <c r="G4" s="4">
        <v>12</v>
      </c>
      <c r="H4" s="4"/>
      <c r="I4" s="4"/>
      <c r="J4" s="4">
        <v>27.9</v>
      </c>
      <c r="K4" s="4">
        <v>15.1</v>
      </c>
      <c r="L4" s="4">
        <v>29.3</v>
      </c>
      <c r="M4" s="4">
        <v>18.600000000000001</v>
      </c>
      <c r="N4" s="4">
        <v>7.1</v>
      </c>
      <c r="O4" s="4"/>
      <c r="P4" s="4"/>
      <c r="Q4" s="4">
        <v>14.3</v>
      </c>
      <c r="R4" s="4">
        <v>10.4</v>
      </c>
      <c r="S4" s="4">
        <v>13.4</v>
      </c>
      <c r="U4" s="4">
        <v>13.8</v>
      </c>
      <c r="V4" s="4"/>
      <c r="W4" s="4"/>
      <c r="X4" s="4">
        <v>12.3</v>
      </c>
      <c r="Y4" s="4"/>
      <c r="Z4" s="4"/>
      <c r="AA4" s="4">
        <v>15.55</v>
      </c>
      <c r="AB4" s="4">
        <v>12.3</v>
      </c>
      <c r="AC4" s="4"/>
      <c r="AD4" s="4"/>
      <c r="AE4" s="4">
        <v>8.6999999999999993</v>
      </c>
      <c r="AF4" s="4"/>
      <c r="AG4" s="4">
        <v>13.5</v>
      </c>
      <c r="AH4" s="4">
        <v>10.8</v>
      </c>
    </row>
    <row r="5" spans="1:34" x14ac:dyDescent="0.2">
      <c r="A5" s="7">
        <f>SUM(D4:AH4)</f>
        <v>235.05000000000004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67.580000000000013</v>
      </c>
      <c r="C6" s="3" t="s">
        <v>2</v>
      </c>
      <c r="D6" s="4">
        <v>8</v>
      </c>
      <c r="E6" s="4"/>
      <c r="F6" s="4">
        <v>10.4</v>
      </c>
      <c r="G6" s="4">
        <v>37</v>
      </c>
      <c r="H6" s="4"/>
      <c r="I6" s="4">
        <v>10</v>
      </c>
      <c r="J6" s="4">
        <v>8.1999999999999993</v>
      </c>
      <c r="K6" s="4">
        <v>13</v>
      </c>
      <c r="L6" s="4"/>
      <c r="M6" s="4">
        <v>7.5</v>
      </c>
      <c r="N6" s="4">
        <v>71.5</v>
      </c>
      <c r="O6" s="4">
        <v>28</v>
      </c>
      <c r="P6" s="4">
        <v>6.9</v>
      </c>
      <c r="Q6" s="4">
        <v>5.7</v>
      </c>
      <c r="R6" s="4">
        <v>50.3</v>
      </c>
      <c r="S6" s="4"/>
      <c r="T6" s="4"/>
      <c r="U6" s="4">
        <v>8.4</v>
      </c>
      <c r="V6" s="4"/>
      <c r="W6" s="4">
        <v>12</v>
      </c>
      <c r="X6" s="4">
        <v>35.9</v>
      </c>
      <c r="Y6" s="4">
        <v>25.2</v>
      </c>
      <c r="Z6" s="4"/>
      <c r="AA6" s="4"/>
      <c r="AB6" s="4"/>
      <c r="AC6" s="4">
        <v>13</v>
      </c>
      <c r="AD6" s="4"/>
      <c r="AE6" s="4">
        <v>8.1999999999999993</v>
      </c>
      <c r="AF6" s="4"/>
      <c r="AG6" s="4"/>
      <c r="AH6" s="4"/>
    </row>
    <row r="7" spans="1:34" x14ac:dyDescent="0.2">
      <c r="A7" s="7">
        <f>SUM(D6:AH6)</f>
        <v>359.19999999999993</v>
      </c>
      <c r="B7" s="8">
        <f>SUM(D7:AH7)</f>
        <v>291.62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>
        <v>291.62</v>
      </c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201.7</v>
      </c>
      <c r="C8" s="3" t="s">
        <v>2</v>
      </c>
      <c r="D8" s="4">
        <v>5.2</v>
      </c>
      <c r="E8" s="4"/>
      <c r="F8" s="4"/>
      <c r="G8" s="4"/>
      <c r="H8" s="4">
        <v>8</v>
      </c>
      <c r="I8" s="4">
        <v>6</v>
      </c>
      <c r="J8" s="4">
        <v>7.5</v>
      </c>
      <c r="K8" s="4"/>
      <c r="L8" s="4"/>
      <c r="M8" s="4">
        <v>23.9</v>
      </c>
      <c r="N8" s="4">
        <v>5.2</v>
      </c>
      <c r="O8" s="4">
        <v>4.0999999999999996</v>
      </c>
      <c r="P8" s="4">
        <v>6.9</v>
      </c>
      <c r="Q8" s="4">
        <v>4.5999999999999996</v>
      </c>
      <c r="R8" s="4">
        <v>28.6</v>
      </c>
      <c r="S8" s="4"/>
      <c r="T8" s="4"/>
      <c r="U8" s="4">
        <v>15.3</v>
      </c>
      <c r="V8" s="4">
        <v>14.4</v>
      </c>
      <c r="W8" s="4"/>
      <c r="X8" s="4">
        <v>17.899999999999999</v>
      </c>
      <c r="Y8" s="4">
        <v>24.4</v>
      </c>
      <c r="Z8" s="4"/>
      <c r="AA8" s="4"/>
      <c r="AB8" s="4"/>
      <c r="AC8" s="4">
        <v>8.6</v>
      </c>
      <c r="AD8" s="4"/>
      <c r="AE8" s="4">
        <v>14.9</v>
      </c>
      <c r="AF8" s="4">
        <v>6.2</v>
      </c>
      <c r="AG8" s="4"/>
      <c r="AH8" s="4"/>
    </row>
    <row r="9" spans="1:34" x14ac:dyDescent="0.2">
      <c r="A9" s="7">
        <f>SUM(D8:AH8)</f>
        <v>201.7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-128.71999999999997</v>
      </c>
      <c r="C10" s="3" t="s">
        <v>2</v>
      </c>
      <c r="D10" s="4">
        <v>13</v>
      </c>
      <c r="E10" s="4">
        <v>10.6</v>
      </c>
      <c r="F10" s="4">
        <v>31.4</v>
      </c>
      <c r="G10" s="4"/>
      <c r="H10" s="4">
        <v>7.9</v>
      </c>
      <c r="I10" s="4"/>
      <c r="J10" s="4"/>
      <c r="K10" s="4"/>
      <c r="L10" s="4">
        <v>26.5</v>
      </c>
      <c r="M10" s="4">
        <v>6.6</v>
      </c>
      <c r="N10" s="4">
        <v>15.4</v>
      </c>
      <c r="O10" s="4"/>
      <c r="P10" s="4"/>
      <c r="Q10" s="4"/>
      <c r="R10" s="4">
        <v>9.6999999999999993</v>
      </c>
      <c r="S10" s="4"/>
      <c r="T10" s="4"/>
      <c r="U10" s="4">
        <v>21.8</v>
      </c>
      <c r="V10" s="4"/>
      <c r="W10" s="4"/>
      <c r="X10" s="4"/>
      <c r="Y10" s="4">
        <v>12.5</v>
      </c>
      <c r="Z10" s="4">
        <v>10.4</v>
      </c>
      <c r="AA10" s="4">
        <v>30</v>
      </c>
      <c r="AB10" s="4"/>
      <c r="AC10" s="4">
        <v>8.3000000000000007</v>
      </c>
      <c r="AD10" s="4"/>
      <c r="AE10" s="4"/>
      <c r="AF10" s="4">
        <v>11.7</v>
      </c>
      <c r="AG10" s="4">
        <v>5</v>
      </c>
      <c r="AH10" s="4"/>
    </row>
    <row r="11" spans="1:34" x14ac:dyDescent="0.2">
      <c r="A11" s="7">
        <f>SUM(D10:AH10)</f>
        <v>220.8</v>
      </c>
      <c r="B11" s="8">
        <f>SUM(D11:AH11)</f>
        <v>349.52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>
        <f>203.79+145.73</f>
        <v>349.52</v>
      </c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287.75</v>
      </c>
      <c r="C12" s="3" t="s">
        <v>2</v>
      </c>
      <c r="D12" s="4"/>
      <c r="E12" s="4"/>
      <c r="F12" s="4">
        <v>23.5</v>
      </c>
      <c r="G12" s="4"/>
      <c r="H12" s="4"/>
      <c r="I12" s="4">
        <v>19.95</v>
      </c>
      <c r="J12" s="4"/>
      <c r="K12" s="4">
        <v>7.9</v>
      </c>
      <c r="L12" s="4">
        <v>5</v>
      </c>
      <c r="M12" s="4">
        <v>8</v>
      </c>
      <c r="N12" s="4"/>
      <c r="O12" s="4"/>
      <c r="P12" s="4">
        <v>40.299999999999997</v>
      </c>
      <c r="Q12" s="4">
        <v>35.299999999999997</v>
      </c>
      <c r="R12" s="4">
        <v>19.399999999999999</v>
      </c>
      <c r="S12" s="4">
        <v>7.2</v>
      </c>
      <c r="T12" s="4">
        <v>14.3</v>
      </c>
      <c r="U12" s="4"/>
      <c r="V12" s="4"/>
      <c r="W12" s="4">
        <v>14.8</v>
      </c>
      <c r="X12" s="4"/>
      <c r="Y12" s="4"/>
      <c r="Z12" s="4">
        <v>13.8</v>
      </c>
      <c r="AA12" s="4">
        <v>18.600000000000001</v>
      </c>
      <c r="AB12" s="4"/>
      <c r="AC12" s="4"/>
      <c r="AD12" s="4">
        <v>44.7</v>
      </c>
      <c r="AE12" s="4"/>
      <c r="AF12" s="4">
        <v>6.2</v>
      </c>
      <c r="AG12" s="4"/>
      <c r="AH12" s="4">
        <v>8.8000000000000007</v>
      </c>
    </row>
    <row r="13" spans="1:34" x14ac:dyDescent="0.2">
      <c r="A13" s="7">
        <f>SUM(D12:AH12)</f>
        <v>287.75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164.5</v>
      </c>
      <c r="C14" s="3" t="s">
        <v>2</v>
      </c>
      <c r="D14" s="4"/>
      <c r="E14" s="4"/>
      <c r="F14" s="4">
        <v>6.5</v>
      </c>
      <c r="G14" s="4">
        <v>45</v>
      </c>
      <c r="H14" s="4">
        <v>79.400000000000006</v>
      </c>
      <c r="I14" s="4"/>
      <c r="J14" s="4">
        <v>7.4</v>
      </c>
      <c r="K14" s="4"/>
      <c r="L14" s="4"/>
      <c r="M14" s="4"/>
      <c r="N14" s="4">
        <v>8</v>
      </c>
      <c r="O14" s="4"/>
      <c r="P14" s="4"/>
      <c r="Q14" s="4">
        <v>6</v>
      </c>
      <c r="R14" s="4"/>
      <c r="S14" s="4"/>
      <c r="T14" s="4"/>
      <c r="U14" s="4">
        <v>30.8</v>
      </c>
      <c r="V14" s="4">
        <v>8.4</v>
      </c>
      <c r="W14" s="4"/>
      <c r="X14" s="4">
        <v>8.4</v>
      </c>
      <c r="Y14" s="4"/>
      <c r="Z14" s="4"/>
      <c r="AA14" s="4">
        <v>54</v>
      </c>
      <c r="AB14" s="4"/>
      <c r="AC14" s="4">
        <v>11.5</v>
      </c>
      <c r="AD14" s="4">
        <v>15</v>
      </c>
      <c r="AE14" s="4">
        <v>40.1</v>
      </c>
      <c r="AF14" s="4"/>
      <c r="AG14" s="4"/>
      <c r="AH14" s="4"/>
    </row>
    <row r="15" spans="1:34" x14ac:dyDescent="0.2">
      <c r="A15" s="7">
        <f>SUM(D14:AH14)</f>
        <v>320.50000000000006</v>
      </c>
      <c r="B15" s="8">
        <f>SUM(D15:AH15)</f>
        <v>156</v>
      </c>
      <c r="C15" s="9" t="s">
        <v>3</v>
      </c>
      <c r="D15" s="10"/>
      <c r="E15" s="10"/>
      <c r="F15" s="10"/>
      <c r="G15" s="10"/>
      <c r="H15" s="10">
        <v>156</v>
      </c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-219.17000000000002</v>
      </c>
      <c r="C16" s="3" t="s">
        <v>2</v>
      </c>
      <c r="D16" s="4"/>
      <c r="E16" s="4">
        <v>13.2</v>
      </c>
      <c r="F16" s="4">
        <v>14.7</v>
      </c>
      <c r="G16" s="4"/>
      <c r="H16" s="4">
        <v>24.8</v>
      </c>
      <c r="I16" s="4"/>
      <c r="J16" s="4">
        <v>16.399999999999999</v>
      </c>
      <c r="K16" s="4"/>
      <c r="L16" s="4">
        <v>24.6</v>
      </c>
      <c r="M16" s="4">
        <v>12</v>
      </c>
      <c r="N16" s="4">
        <v>26</v>
      </c>
      <c r="O16" s="4">
        <v>6.3</v>
      </c>
      <c r="P16" s="4"/>
      <c r="Q16" s="4"/>
      <c r="R16" s="4"/>
      <c r="S16" s="4"/>
      <c r="T16" s="4">
        <v>18</v>
      </c>
      <c r="U16" s="4">
        <v>6.7</v>
      </c>
      <c r="V16" s="4"/>
      <c r="W16" s="4"/>
      <c r="X16" s="4">
        <v>7.8</v>
      </c>
      <c r="Y16" s="4"/>
      <c r="Z16" s="4">
        <v>6</v>
      </c>
      <c r="AA16" s="4"/>
      <c r="AB16" s="4"/>
      <c r="AC16" s="4">
        <v>10.5</v>
      </c>
      <c r="AD16" s="4"/>
      <c r="AE16" s="4"/>
      <c r="AF16" s="4"/>
      <c r="AG16" s="4">
        <v>22</v>
      </c>
      <c r="AH16" s="4"/>
    </row>
    <row r="17" spans="1:34" x14ac:dyDescent="0.2">
      <c r="A17" s="7">
        <f>SUM(D16:AH16)</f>
        <v>209</v>
      </c>
      <c r="B17" s="8">
        <f>SUM(D17:AH17)</f>
        <v>428.17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>
        <f>199.35+169.12+59.7</f>
        <v>428.17</v>
      </c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23.7</v>
      </c>
      <c r="C18" s="3" t="s">
        <v>2</v>
      </c>
      <c r="D18" s="4"/>
      <c r="E18" s="4">
        <v>17</v>
      </c>
      <c r="F18" s="4"/>
      <c r="G18" s="4"/>
      <c r="H18" s="4"/>
      <c r="I18" s="4"/>
      <c r="J18" s="4">
        <v>6.7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23.7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190.5</v>
      </c>
      <c r="C20" s="3" t="s">
        <v>2</v>
      </c>
      <c r="D20" s="4"/>
      <c r="E20" s="4">
        <v>56.6</v>
      </c>
      <c r="F20" s="4">
        <v>46.4</v>
      </c>
      <c r="G20" s="4"/>
      <c r="H20" s="4">
        <v>16.899999999999999</v>
      </c>
      <c r="I20" s="4">
        <v>15</v>
      </c>
      <c r="J20" s="4"/>
      <c r="K20" s="4"/>
      <c r="L20" s="4"/>
      <c r="M20" s="4">
        <v>6.5</v>
      </c>
      <c r="N20" s="4">
        <v>9.6</v>
      </c>
      <c r="O20" s="4">
        <v>6.6</v>
      </c>
      <c r="P20" s="4"/>
      <c r="Q20" s="4"/>
      <c r="R20" s="4"/>
      <c r="S20" s="4">
        <v>6.2</v>
      </c>
      <c r="T20" s="4"/>
      <c r="U20" s="4">
        <v>22</v>
      </c>
      <c r="V20" s="4"/>
      <c r="W20" s="4">
        <v>26.4</v>
      </c>
      <c r="X20" s="4"/>
      <c r="Y20" s="4"/>
      <c r="Z20" s="4"/>
      <c r="AA20" s="4">
        <v>6.7</v>
      </c>
      <c r="AB20" s="4"/>
      <c r="AC20" s="4"/>
      <c r="AD20" s="4">
        <v>30.8</v>
      </c>
      <c r="AE20" s="4"/>
      <c r="AF20" s="4">
        <v>7.5</v>
      </c>
      <c r="AG20" s="4">
        <v>11.3</v>
      </c>
      <c r="AH20" s="4"/>
    </row>
    <row r="21" spans="1:34" x14ac:dyDescent="0.2">
      <c r="A21" s="7">
        <f>SUM(D20:AH20)</f>
        <v>268.5</v>
      </c>
      <c r="B21" s="8">
        <f>SUM(D21:AH21)</f>
        <v>78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>
        <v>78</v>
      </c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106.79</v>
      </c>
      <c r="C22" s="3" t="s">
        <v>2</v>
      </c>
      <c r="D22" s="4">
        <v>48</v>
      </c>
      <c r="E22" s="4"/>
      <c r="F22" s="4"/>
      <c r="G22" s="4">
        <v>6</v>
      </c>
      <c r="H22" s="4"/>
      <c r="I22" s="4">
        <v>6.5</v>
      </c>
      <c r="J22" s="4">
        <v>10.6</v>
      </c>
      <c r="K22" s="4">
        <v>26.4</v>
      </c>
      <c r="L22" s="4">
        <v>39.6</v>
      </c>
      <c r="M22" s="4">
        <v>10.7</v>
      </c>
      <c r="N22" s="4"/>
      <c r="O22" s="4"/>
      <c r="P22" s="4"/>
      <c r="Q22" s="4"/>
      <c r="R22" s="4">
        <v>8</v>
      </c>
      <c r="S22" s="4">
        <v>6.2</v>
      </c>
      <c r="T22" s="4">
        <v>3.8</v>
      </c>
      <c r="U22" s="4">
        <v>12.9</v>
      </c>
      <c r="V22" s="4"/>
      <c r="W22" s="4">
        <v>4.2</v>
      </c>
      <c r="X22" s="4">
        <v>9.8000000000000007</v>
      </c>
      <c r="Y22" s="4">
        <v>4.5999999999999996</v>
      </c>
      <c r="Z22" s="4">
        <v>38.700000000000003</v>
      </c>
      <c r="AA22" s="4">
        <v>58.6</v>
      </c>
      <c r="AB22" s="4">
        <v>31.5</v>
      </c>
      <c r="AC22" s="4"/>
      <c r="AD22" s="4"/>
      <c r="AE22" s="4">
        <v>30</v>
      </c>
      <c r="AF22" s="4">
        <v>27</v>
      </c>
      <c r="AG22" s="4">
        <v>5.2</v>
      </c>
      <c r="AH22" s="4"/>
    </row>
    <row r="23" spans="1:34" x14ac:dyDescent="0.2">
      <c r="A23" s="7">
        <f>SUM(D22:AH22)</f>
        <v>388.3</v>
      </c>
      <c r="B23" s="8">
        <f>SUM(D23:AH23)</f>
        <v>281.51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>
        <f>121.07+160.44</f>
        <v>281.51</v>
      </c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261.7</v>
      </c>
      <c r="C24" s="3" t="s">
        <v>2</v>
      </c>
      <c r="D24" s="4"/>
      <c r="E24" s="4"/>
      <c r="F24" s="4"/>
      <c r="G24" s="4">
        <v>6.5</v>
      </c>
      <c r="I24" s="4">
        <v>22.6</v>
      </c>
      <c r="J24" s="4">
        <v>27.8</v>
      </c>
      <c r="K24" s="4">
        <v>23.6</v>
      </c>
      <c r="L24" s="4"/>
      <c r="M24" s="4"/>
      <c r="N24" s="4">
        <v>13</v>
      </c>
      <c r="O24" s="4">
        <v>12.8</v>
      </c>
      <c r="P24" s="4"/>
      <c r="Q24" s="4">
        <v>7.6</v>
      </c>
      <c r="R24" s="4"/>
      <c r="S24" s="4"/>
      <c r="T24" s="4"/>
      <c r="U24" s="4">
        <v>21.9</v>
      </c>
      <c r="V24" s="4"/>
      <c r="W24" s="4">
        <v>14</v>
      </c>
      <c r="X24" s="4">
        <v>12</v>
      </c>
      <c r="Y24" s="4">
        <v>8.3000000000000007</v>
      </c>
      <c r="Z24" s="4"/>
      <c r="AA24" s="4">
        <v>15</v>
      </c>
      <c r="AB24" s="4">
        <v>13.3</v>
      </c>
      <c r="AC24" s="4">
        <v>50.9</v>
      </c>
      <c r="AD24" s="4"/>
      <c r="AE24" s="4"/>
      <c r="AF24" s="4">
        <v>12.4</v>
      </c>
      <c r="AG24" s="4"/>
      <c r="AH24" s="4"/>
    </row>
    <row r="25" spans="1:34" x14ac:dyDescent="0.2">
      <c r="A25" s="7">
        <f>SUM(D24:AH24)</f>
        <v>261.7</v>
      </c>
      <c r="B25" s="8">
        <f>SUM(D25:AH25)</f>
        <v>0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-52.260000000000019</v>
      </c>
      <c r="C26" s="3" t="s">
        <v>2</v>
      </c>
      <c r="D26" s="4">
        <v>20.8</v>
      </c>
      <c r="E26" s="4">
        <v>4.2</v>
      </c>
      <c r="F26" s="4"/>
      <c r="G26" s="4">
        <v>59</v>
      </c>
      <c r="H26" s="4">
        <v>48.2</v>
      </c>
      <c r="I26" s="4">
        <v>48.4</v>
      </c>
      <c r="J26" s="4"/>
      <c r="K26" s="4"/>
      <c r="L26" s="4">
        <v>11.6</v>
      </c>
      <c r="M26" s="4"/>
      <c r="N26" s="4">
        <v>13.8</v>
      </c>
      <c r="O26" s="4">
        <v>25.7</v>
      </c>
      <c r="P26" s="4">
        <v>13.4</v>
      </c>
      <c r="Q26" s="4"/>
      <c r="R26" s="4">
        <v>11.1</v>
      </c>
      <c r="S26" s="4">
        <v>7.4</v>
      </c>
      <c r="T26" s="4">
        <v>28</v>
      </c>
      <c r="U26" s="4"/>
      <c r="V26" s="4">
        <v>83.4</v>
      </c>
      <c r="W26" s="4">
        <v>15</v>
      </c>
      <c r="X26" s="4"/>
      <c r="Y26" s="4"/>
      <c r="Z26" s="4">
        <v>23.2</v>
      </c>
      <c r="AA26" s="4">
        <v>39.9</v>
      </c>
      <c r="AB26" s="4"/>
      <c r="AC26" s="4"/>
      <c r="AD26" s="4">
        <v>16</v>
      </c>
      <c r="AE26" s="4"/>
      <c r="AF26" s="4"/>
      <c r="AG26" s="4">
        <v>11.5</v>
      </c>
      <c r="AH26" s="4"/>
    </row>
    <row r="27" spans="1:34" x14ac:dyDescent="0.2">
      <c r="A27" s="7">
        <f>SUM(D26:AH26)</f>
        <v>480.59999999999997</v>
      </c>
      <c r="B27" s="8">
        <f>SUM(D27:AH27)</f>
        <v>532.86</v>
      </c>
      <c r="C27" s="9" t="s">
        <v>3</v>
      </c>
      <c r="D27" s="10"/>
      <c r="E27" s="10"/>
      <c r="F27" s="10">
        <f>209.72+179.14</f>
        <v>388.86</v>
      </c>
      <c r="G27" s="10"/>
      <c r="H27" s="12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>
        <v>144</v>
      </c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3256.7999999999997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2117.6800000000003</v>
      </c>
    </row>
    <row r="31" spans="1:34" x14ac:dyDescent="0.2">
      <c r="A31" s="1" t="s">
        <v>17</v>
      </c>
      <c r="B31" s="6">
        <f>B29-B30</f>
        <v>1139.1199999999994</v>
      </c>
    </row>
  </sheetData>
  <conditionalFormatting sqref="B31">
    <cfRule type="cellIs" dxfId="25" priority="1" stopIfTrue="1" operator="lessThanOrEqual">
      <formula>0</formula>
    </cfRule>
    <cfRule type="cellIs" dxfId="24" priority="2" stopIfTrue="1" operator="greaterThanOr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"/>
  <sheetViews>
    <sheetView workbookViewId="0">
      <selection activeCell="J18" sqref="J18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5" width="5.5703125" bestFit="1" customWidth="1"/>
    <col min="6" max="6" width="6.5703125" bestFit="1" customWidth="1"/>
    <col min="7" max="7" width="5.5703125" bestFit="1" customWidth="1"/>
    <col min="8" max="8" width="6.5703125" bestFit="1" customWidth="1"/>
    <col min="9" max="10" width="5.5703125" bestFit="1" customWidth="1"/>
    <col min="11" max="12" width="6.5703125" bestFit="1" customWidth="1"/>
    <col min="13" max="13" width="5.5703125" bestFit="1" customWidth="1"/>
    <col min="14" max="14" width="6.5703125" bestFit="1" customWidth="1"/>
    <col min="15" max="16" width="5.5703125" bestFit="1" customWidth="1"/>
    <col min="17" max="17" width="6.5703125" bestFit="1" customWidth="1"/>
    <col min="18" max="19" width="5.5703125" bestFit="1" customWidth="1"/>
    <col min="20" max="21" width="6.5703125" bestFit="1" customWidth="1"/>
    <col min="22" max="22" width="5.5703125" bestFit="1" customWidth="1"/>
    <col min="23" max="24" width="6.5703125" bestFit="1" customWidth="1"/>
    <col min="25" max="26" width="5.5703125" bestFit="1" customWidth="1"/>
    <col min="27" max="27" width="6.5703125" bestFit="1" customWidth="1"/>
    <col min="28" max="29" width="5.5703125" bestFit="1" customWidth="1"/>
    <col min="30" max="31" width="6.5703125" bestFit="1" customWidth="1"/>
    <col min="32" max="34" width="5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2015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319.14999999999998</v>
      </c>
      <c r="C4" s="3" t="s">
        <v>2</v>
      </c>
      <c r="D4" s="4"/>
      <c r="E4" s="4"/>
      <c r="F4" s="4">
        <v>6.3</v>
      </c>
      <c r="G4" s="4"/>
      <c r="H4" s="4"/>
      <c r="I4" s="4"/>
      <c r="J4" s="4">
        <v>14</v>
      </c>
      <c r="K4" s="4">
        <v>15.7</v>
      </c>
      <c r="L4" s="4"/>
      <c r="M4" s="4">
        <v>41.7</v>
      </c>
      <c r="N4" s="4"/>
      <c r="O4" s="4"/>
      <c r="P4" s="4">
        <v>23.4</v>
      </c>
      <c r="Q4" s="4">
        <v>12</v>
      </c>
      <c r="R4" s="4"/>
      <c r="S4" s="4">
        <v>59.4</v>
      </c>
      <c r="T4" s="4">
        <v>9.35</v>
      </c>
      <c r="U4" s="4"/>
      <c r="V4" s="4"/>
      <c r="W4" s="4">
        <v>11.8</v>
      </c>
      <c r="X4" s="4"/>
      <c r="Y4" s="4">
        <v>19.5</v>
      </c>
      <c r="Z4" s="4">
        <v>5.7</v>
      </c>
      <c r="AA4" s="4">
        <v>10.5</v>
      </c>
      <c r="AB4" s="4"/>
      <c r="AC4" s="4">
        <v>7</v>
      </c>
      <c r="AD4" s="4">
        <v>16.2</v>
      </c>
      <c r="AE4" s="4">
        <v>8.9</v>
      </c>
      <c r="AF4" s="4">
        <v>25.5</v>
      </c>
      <c r="AG4" s="4"/>
      <c r="AH4" s="4">
        <v>32.200000000000003</v>
      </c>
    </row>
    <row r="5" spans="1:34" x14ac:dyDescent="0.2">
      <c r="A5" s="7">
        <f>SUM(D4:AH4)</f>
        <v>319.14999999999998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-82.629999999999981</v>
      </c>
      <c r="C6" s="3" t="s">
        <v>2</v>
      </c>
      <c r="D6" s="4"/>
      <c r="E6" s="4"/>
      <c r="F6" s="4">
        <v>5.2</v>
      </c>
      <c r="G6" s="4">
        <v>20.399999999999999</v>
      </c>
      <c r="H6" s="4">
        <v>14.4</v>
      </c>
      <c r="I6" s="4"/>
      <c r="J6" s="4"/>
      <c r="K6" s="4"/>
      <c r="L6" s="4">
        <v>40</v>
      </c>
      <c r="M6" s="4">
        <v>64.8</v>
      </c>
      <c r="N6" s="4">
        <v>45</v>
      </c>
      <c r="O6" s="4"/>
      <c r="P6" s="4"/>
      <c r="Q6" s="4">
        <v>8.5500000000000007</v>
      </c>
      <c r="R6" s="4"/>
      <c r="S6" s="4"/>
      <c r="T6" s="4">
        <v>13.2</v>
      </c>
      <c r="U6" s="4">
        <v>14.4</v>
      </c>
      <c r="V6" s="4">
        <v>6</v>
      </c>
      <c r="W6" s="4">
        <v>6.5</v>
      </c>
      <c r="X6" s="4"/>
      <c r="Y6" s="4"/>
      <c r="Z6" s="4"/>
      <c r="AA6" s="4"/>
      <c r="AB6" s="4"/>
      <c r="AC6" s="4">
        <v>6.5</v>
      </c>
      <c r="AD6" s="4">
        <v>22.3</v>
      </c>
      <c r="AE6" s="4">
        <v>13.75</v>
      </c>
      <c r="AF6" s="4"/>
      <c r="AG6" s="4"/>
      <c r="AH6" s="4"/>
    </row>
    <row r="7" spans="1:34" x14ac:dyDescent="0.2">
      <c r="A7" s="7">
        <f>SUM(D6:AH6)</f>
        <v>281</v>
      </c>
      <c r="B7" s="8">
        <f>SUM(D7:AH7)</f>
        <v>363.62999999999994</v>
      </c>
      <c r="C7" s="9" t="s">
        <v>3</v>
      </c>
      <c r="D7" s="10"/>
      <c r="E7" s="10"/>
      <c r="F7" s="10">
        <f>134.14+198.03+31.46</f>
        <v>363.62999999999994</v>
      </c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148.80000000000001</v>
      </c>
      <c r="C8" s="3" t="s">
        <v>2</v>
      </c>
      <c r="D8" s="4"/>
      <c r="E8" s="4"/>
      <c r="F8" s="4"/>
      <c r="G8" s="4">
        <v>13</v>
      </c>
      <c r="H8" s="4"/>
      <c r="I8" s="4">
        <v>8.6</v>
      </c>
      <c r="J8" s="4">
        <v>35.6</v>
      </c>
      <c r="K8" s="4"/>
      <c r="L8" s="4"/>
      <c r="M8" s="4">
        <v>11.7</v>
      </c>
      <c r="N8" s="4"/>
      <c r="O8" s="4"/>
      <c r="P8" s="4">
        <v>10</v>
      </c>
      <c r="Q8" s="4">
        <v>13.8</v>
      </c>
      <c r="R8" s="4"/>
      <c r="S8" s="4"/>
      <c r="T8" s="4"/>
      <c r="U8" s="4">
        <v>11.5</v>
      </c>
      <c r="V8" s="4"/>
      <c r="W8" s="4"/>
      <c r="X8" s="4">
        <v>12.5</v>
      </c>
      <c r="Y8" s="4"/>
      <c r="Z8" s="4">
        <v>9</v>
      </c>
      <c r="AA8" s="4"/>
      <c r="AB8" s="4"/>
      <c r="AC8" s="4"/>
      <c r="AD8" s="4">
        <v>8.8000000000000007</v>
      </c>
      <c r="AE8" s="4">
        <v>6.3</v>
      </c>
      <c r="AF8" s="4"/>
      <c r="AG8" s="4"/>
      <c r="AH8" s="4">
        <v>8</v>
      </c>
    </row>
    <row r="9" spans="1:34" x14ac:dyDescent="0.2">
      <c r="A9" s="7">
        <f>SUM(D8:AH8)</f>
        <v>148.80000000000001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-115.47999999999996</v>
      </c>
      <c r="C10" s="3" t="s">
        <v>2</v>
      </c>
      <c r="D10" s="4">
        <v>4.2</v>
      </c>
      <c r="E10" s="4"/>
      <c r="F10" s="4"/>
      <c r="G10" s="4"/>
      <c r="H10" s="4"/>
      <c r="I10" s="4"/>
      <c r="J10" s="4">
        <v>8</v>
      </c>
      <c r="K10" s="4">
        <v>13.5</v>
      </c>
      <c r="L10" s="4">
        <v>8.6999999999999993</v>
      </c>
      <c r="M10" s="4"/>
      <c r="N10" s="4">
        <v>8</v>
      </c>
      <c r="O10" s="4"/>
      <c r="P10" s="4"/>
      <c r="Q10" s="4">
        <v>8.8000000000000007</v>
      </c>
      <c r="R10" s="4">
        <v>63.4</v>
      </c>
      <c r="S10" s="4"/>
      <c r="T10" s="4">
        <v>5.85</v>
      </c>
      <c r="U10" s="4"/>
      <c r="V10" s="4"/>
      <c r="W10" s="4"/>
      <c r="X10" s="4"/>
      <c r="Y10" s="4">
        <v>13.4</v>
      </c>
      <c r="Z10" s="4">
        <v>7.8</v>
      </c>
      <c r="AA10" s="4"/>
      <c r="AB10" s="4"/>
      <c r="AC10" s="4"/>
      <c r="AD10" s="4"/>
      <c r="AE10" s="4"/>
      <c r="AF10" s="4">
        <v>10.9</v>
      </c>
      <c r="AG10" s="4"/>
      <c r="AH10" s="4"/>
    </row>
    <row r="11" spans="1:34" x14ac:dyDescent="0.2">
      <c r="A11" s="7">
        <f>SUM(D10:AH10)</f>
        <v>152.55000000000001</v>
      </c>
      <c r="B11" s="8">
        <f>SUM(D11:AH11)</f>
        <v>268.02999999999997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>
        <f>149.67+118.36</f>
        <v>268.02999999999997</v>
      </c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270.64999999999998</v>
      </c>
      <c r="C12" s="3" t="s">
        <v>2</v>
      </c>
      <c r="D12" s="4"/>
      <c r="E12" s="4"/>
      <c r="F12" s="4"/>
      <c r="G12" s="4"/>
      <c r="H12" s="4">
        <v>9</v>
      </c>
      <c r="I12" s="4"/>
      <c r="J12" s="4"/>
      <c r="K12" s="4">
        <v>6</v>
      </c>
      <c r="L12" s="4">
        <v>87.5</v>
      </c>
      <c r="M12" s="4"/>
      <c r="N12" s="4">
        <v>9.1999999999999993</v>
      </c>
      <c r="O12" s="4">
        <v>42.5</v>
      </c>
      <c r="P12" s="4">
        <v>32</v>
      </c>
      <c r="Q12" s="4">
        <v>13.15</v>
      </c>
      <c r="R12" s="4">
        <v>5.2</v>
      </c>
      <c r="S12" s="4">
        <v>6</v>
      </c>
      <c r="T12" s="4"/>
      <c r="U12" s="4"/>
      <c r="V12" s="4"/>
      <c r="W12" s="4">
        <v>6.2</v>
      </c>
      <c r="X12" s="4">
        <v>6.2</v>
      </c>
      <c r="Y12" s="4">
        <v>8.3000000000000007</v>
      </c>
      <c r="Z12" s="4"/>
      <c r="AA12" s="4"/>
      <c r="AB12" s="4">
        <v>8</v>
      </c>
      <c r="AC12" s="4">
        <v>6</v>
      </c>
      <c r="AD12" s="4">
        <v>8.5</v>
      </c>
      <c r="AE12" s="4">
        <v>4.8</v>
      </c>
      <c r="AF12" s="4">
        <v>7.6</v>
      </c>
      <c r="AG12" s="4">
        <v>4.5</v>
      </c>
      <c r="AH12" s="4"/>
    </row>
    <row r="13" spans="1:34" x14ac:dyDescent="0.2">
      <c r="A13" s="7">
        <f>SUM(D12:AH12)</f>
        <v>270.64999999999998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59.3</v>
      </c>
      <c r="C14" s="3" t="s">
        <v>2</v>
      </c>
      <c r="D14" s="4"/>
      <c r="F14" s="4">
        <v>4.9000000000000004</v>
      </c>
      <c r="G14" s="4">
        <v>44.5</v>
      </c>
      <c r="H14" s="4">
        <v>8</v>
      </c>
      <c r="I14" s="4">
        <v>13.9</v>
      </c>
      <c r="J14" s="4"/>
      <c r="K14" s="4">
        <v>6.95</v>
      </c>
      <c r="L14" s="4">
        <v>8.8000000000000007</v>
      </c>
      <c r="M14" s="4"/>
      <c r="N14" s="4"/>
      <c r="O14" s="4">
        <v>6.9</v>
      </c>
      <c r="P14" s="4">
        <v>8.75</v>
      </c>
      <c r="Q14" s="4"/>
      <c r="R14" s="4"/>
      <c r="S14" s="4">
        <v>7</v>
      </c>
      <c r="T14" s="4"/>
      <c r="U14" s="4">
        <v>7</v>
      </c>
      <c r="V14" s="4">
        <v>26.4</v>
      </c>
      <c r="W14" s="4"/>
      <c r="X14" s="4"/>
      <c r="Y14" s="4"/>
      <c r="Z14" s="4">
        <v>11.2</v>
      </c>
      <c r="AA14" s="4"/>
      <c r="AB14" s="4"/>
      <c r="AC14" s="4">
        <v>6.6</v>
      </c>
      <c r="AD14" s="4">
        <v>8.4</v>
      </c>
      <c r="AE14" s="4"/>
      <c r="AF14" s="4"/>
      <c r="AG14" s="4"/>
      <c r="AH14" s="4"/>
    </row>
    <row r="15" spans="1:34" x14ac:dyDescent="0.2">
      <c r="A15" s="7">
        <f>SUM(D14:AH14)</f>
        <v>169.29999999999998</v>
      </c>
      <c r="B15" s="8">
        <f>SUM(D15:AH15)</f>
        <v>110</v>
      </c>
      <c r="C15" s="9" t="s">
        <v>3</v>
      </c>
      <c r="D15" s="10"/>
      <c r="E15" s="10"/>
      <c r="F15" s="10"/>
      <c r="G15" s="10"/>
      <c r="H15" s="10"/>
      <c r="I15" s="10"/>
      <c r="J15" s="10"/>
      <c r="K15" s="10">
        <v>110</v>
      </c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35.04999999999999</v>
      </c>
      <c r="C16" s="3" t="s">
        <v>2</v>
      </c>
      <c r="D16" s="4"/>
      <c r="E16" s="4"/>
      <c r="F16" s="4">
        <v>6.4</v>
      </c>
      <c r="G16" s="4"/>
      <c r="H16" s="4"/>
      <c r="I16" s="4"/>
      <c r="J16" s="4">
        <v>14</v>
      </c>
      <c r="K16" s="4"/>
      <c r="L16" s="4">
        <v>15</v>
      </c>
      <c r="M16" s="4"/>
      <c r="N16" s="4"/>
      <c r="O16" s="4"/>
      <c r="P16" s="4"/>
      <c r="Q16" s="4">
        <v>6.8</v>
      </c>
      <c r="R16" s="4">
        <v>13</v>
      </c>
      <c r="S16" s="4"/>
      <c r="T16" s="4"/>
      <c r="U16" s="4">
        <v>9.75</v>
      </c>
      <c r="V16" s="4"/>
      <c r="W16" s="4"/>
      <c r="X16" s="4">
        <v>48</v>
      </c>
      <c r="Y16" s="4"/>
      <c r="Z16" s="4"/>
      <c r="AA16" s="4"/>
      <c r="AB16" s="4">
        <v>5.2</v>
      </c>
      <c r="AC16" s="4"/>
      <c r="AD16" s="4"/>
      <c r="AE16" s="4">
        <v>28</v>
      </c>
      <c r="AF16" s="4"/>
      <c r="AG16" s="4">
        <v>4.4000000000000004</v>
      </c>
      <c r="AH16" s="4">
        <v>1.5</v>
      </c>
    </row>
    <row r="17" spans="1:34" x14ac:dyDescent="0.2">
      <c r="A17" s="7">
        <f>SUM(D16:AH16)</f>
        <v>152.04999999999998</v>
      </c>
      <c r="B17" s="8">
        <f>SUM(D17:AH17)</f>
        <v>117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>
        <v>117</v>
      </c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3.85</v>
      </c>
      <c r="C18" s="3" t="s">
        <v>2</v>
      </c>
      <c r="D18" s="4"/>
      <c r="E18" s="4"/>
      <c r="F18" s="4"/>
      <c r="G18" s="4"/>
      <c r="H18" s="4"/>
      <c r="I18" s="4"/>
      <c r="J18" s="4">
        <v>3.85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3.85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89.539999999999978</v>
      </c>
      <c r="C20" s="3" t="s">
        <v>2</v>
      </c>
      <c r="D20" s="4"/>
      <c r="E20" s="4"/>
      <c r="F20" s="4">
        <v>11.25</v>
      </c>
      <c r="G20" s="4"/>
      <c r="H20" s="4">
        <v>36.700000000000003</v>
      </c>
      <c r="I20" s="4"/>
      <c r="J20" s="4"/>
      <c r="K20" s="4"/>
      <c r="L20" s="4">
        <v>8.5</v>
      </c>
      <c r="M20" s="4">
        <v>5</v>
      </c>
      <c r="N20" s="4">
        <v>12.1</v>
      </c>
      <c r="O20" s="4">
        <v>7.4</v>
      </c>
      <c r="Q20" s="4"/>
      <c r="R20" s="4">
        <v>26.8</v>
      </c>
      <c r="S20" s="4">
        <v>37.200000000000003</v>
      </c>
      <c r="T20" s="4"/>
      <c r="U20" s="4">
        <v>46.6</v>
      </c>
      <c r="V20" s="4">
        <v>6.8</v>
      </c>
      <c r="W20" s="4"/>
      <c r="X20" s="4"/>
      <c r="Y20" s="4"/>
      <c r="Z20" s="4">
        <v>5.6</v>
      </c>
      <c r="AA20" s="4">
        <v>21.4</v>
      </c>
      <c r="AB20" s="4">
        <v>13.2</v>
      </c>
      <c r="AC20" s="4">
        <v>51.1</v>
      </c>
      <c r="AD20" s="4"/>
      <c r="AE20" s="4"/>
      <c r="AF20" s="4">
        <v>15.7</v>
      </c>
      <c r="AG20" s="4"/>
      <c r="AH20" s="4"/>
    </row>
    <row r="21" spans="1:34" x14ac:dyDescent="0.2">
      <c r="A21" s="7">
        <f>SUM(D20:AH20)</f>
        <v>305.34999999999997</v>
      </c>
      <c r="B21" s="8">
        <f>SUM(D21:AH21)</f>
        <v>215.81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>
        <v>215.81</v>
      </c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369.3</v>
      </c>
      <c r="C22" s="3" t="s">
        <v>2</v>
      </c>
      <c r="D22" s="4">
        <v>31.8</v>
      </c>
      <c r="E22" s="4">
        <v>14.3</v>
      </c>
      <c r="F22" s="4">
        <v>13.9</v>
      </c>
      <c r="G22" s="4"/>
      <c r="H22" s="4"/>
      <c r="I22" s="4">
        <v>30</v>
      </c>
      <c r="J22" s="4">
        <v>25.95</v>
      </c>
      <c r="K22" s="4">
        <v>10.5</v>
      </c>
      <c r="L22" s="4">
        <v>3.9</v>
      </c>
      <c r="M22" s="4">
        <v>27.35</v>
      </c>
      <c r="N22" s="4"/>
      <c r="O22" s="4">
        <v>5.8</v>
      </c>
      <c r="P22" s="4">
        <v>14.25</v>
      </c>
      <c r="Q22" s="4">
        <v>3.9</v>
      </c>
      <c r="R22" s="4"/>
      <c r="S22" s="4">
        <v>33.9</v>
      </c>
      <c r="T22" s="4"/>
      <c r="U22" s="4"/>
      <c r="V22" s="4">
        <v>8.4499999999999993</v>
      </c>
      <c r="W22" s="4"/>
      <c r="X22" s="4">
        <v>19.5</v>
      </c>
      <c r="Y22" s="4">
        <v>13.6</v>
      </c>
      <c r="Z22" s="4">
        <v>12</v>
      </c>
      <c r="AA22" s="4">
        <v>29.4</v>
      </c>
      <c r="AB22" s="4"/>
      <c r="AC22" s="4"/>
      <c r="AD22" s="4"/>
      <c r="AE22" s="4">
        <v>11</v>
      </c>
      <c r="AF22" s="4">
        <v>21.2</v>
      </c>
      <c r="AG22" s="4"/>
      <c r="AH22" s="4">
        <v>38.6</v>
      </c>
    </row>
    <row r="23" spans="1:34" x14ac:dyDescent="0.2">
      <c r="A23" s="7">
        <f>SUM(D22:AH22)</f>
        <v>369.3</v>
      </c>
      <c r="B23" s="8">
        <f>SUM(D23:AH23)</f>
        <v>0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-151.63000000000002</v>
      </c>
      <c r="C24" s="3" t="s">
        <v>2</v>
      </c>
      <c r="D24" s="4"/>
      <c r="E24" s="4"/>
      <c r="F24" s="4">
        <v>17.899999999999999</v>
      </c>
      <c r="G24" s="4">
        <v>35.700000000000003</v>
      </c>
      <c r="H24" s="20">
        <v>8.1999999999999993</v>
      </c>
      <c r="I24" s="4">
        <v>12</v>
      </c>
      <c r="J24" s="4">
        <v>16.100000000000001</v>
      </c>
      <c r="K24" s="4"/>
      <c r="L24" s="4"/>
      <c r="M24" s="4">
        <v>15.8</v>
      </c>
      <c r="N24" s="4">
        <v>7.8</v>
      </c>
      <c r="O24" s="4">
        <v>61.8</v>
      </c>
      <c r="P24" s="4">
        <v>8.4</v>
      </c>
      <c r="Q24" s="4">
        <v>14</v>
      </c>
      <c r="R24" s="4"/>
      <c r="S24" s="4"/>
      <c r="T24" s="4"/>
      <c r="U24" s="4">
        <v>8.1999999999999993</v>
      </c>
      <c r="V24" s="4">
        <v>15.8</v>
      </c>
      <c r="W24" s="4"/>
      <c r="X24" s="4">
        <v>30.95</v>
      </c>
      <c r="Y24" s="4"/>
      <c r="Z24" s="4"/>
      <c r="AA24" s="4">
        <v>19</v>
      </c>
      <c r="AB24" s="4">
        <v>19.5</v>
      </c>
      <c r="AC24" s="4">
        <v>30.7</v>
      </c>
      <c r="AD24" s="4">
        <v>20.100000000000001</v>
      </c>
      <c r="AE24" s="4">
        <v>28.8</v>
      </c>
      <c r="AF24" s="4"/>
      <c r="AG24" s="4"/>
      <c r="AH24" s="4"/>
    </row>
    <row r="25" spans="1:34" x14ac:dyDescent="0.2">
      <c r="A25" s="7">
        <f>SUM(D24:AH24)</f>
        <v>370.75</v>
      </c>
      <c r="B25" s="8">
        <f>SUM(D25:AH25)</f>
        <v>522.38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>
        <f>328.08+194.3</f>
        <v>522.38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139.77000000000004</v>
      </c>
      <c r="C26" s="3" t="s">
        <v>2</v>
      </c>
      <c r="D26" s="4"/>
      <c r="E26" s="4"/>
      <c r="F26" s="4">
        <v>47.7</v>
      </c>
      <c r="G26" s="4">
        <v>36.6</v>
      </c>
      <c r="H26" s="4">
        <v>26.6</v>
      </c>
      <c r="I26" s="4"/>
      <c r="J26" s="4">
        <v>5.4</v>
      </c>
      <c r="K26" s="4"/>
      <c r="L26" s="4">
        <v>7</v>
      </c>
      <c r="M26" s="4"/>
      <c r="N26" s="4"/>
      <c r="O26" s="4"/>
      <c r="P26" s="4"/>
      <c r="Q26" s="4">
        <v>14</v>
      </c>
      <c r="R26" s="4">
        <v>48.5</v>
      </c>
      <c r="S26" s="4">
        <v>13.6</v>
      </c>
      <c r="T26" s="4">
        <v>24.4</v>
      </c>
      <c r="U26" s="4">
        <v>8.85</v>
      </c>
      <c r="V26" s="4">
        <v>55.8</v>
      </c>
      <c r="W26" s="4"/>
      <c r="X26" s="4"/>
      <c r="Y26" s="4">
        <v>45.1</v>
      </c>
      <c r="Z26" s="4">
        <v>27.45</v>
      </c>
      <c r="AA26" s="4">
        <v>23.6</v>
      </c>
      <c r="AB26" s="4"/>
      <c r="AC26" s="4"/>
      <c r="AE26" s="4">
        <v>10.5</v>
      </c>
      <c r="AF26" s="4">
        <v>22.7</v>
      </c>
      <c r="AG26" s="4">
        <v>51.5</v>
      </c>
      <c r="AH26" s="4">
        <v>18.05</v>
      </c>
    </row>
    <row r="27" spans="1:34" x14ac:dyDescent="0.2">
      <c r="A27" s="7">
        <f>SUM(D26:AH26)</f>
        <v>487.35</v>
      </c>
      <c r="B27" s="8">
        <f>SUM(D27:AH27)</f>
        <v>347.58</v>
      </c>
      <c r="C27" s="9" t="s">
        <v>3</v>
      </c>
      <c r="D27" s="10"/>
      <c r="E27" s="10"/>
      <c r="F27" s="10"/>
      <c r="G27" s="10"/>
      <c r="H27" s="12"/>
      <c r="I27" s="11"/>
      <c r="J27" s="10"/>
      <c r="K27" s="10"/>
      <c r="L27" s="10"/>
      <c r="M27" s="10"/>
      <c r="N27" s="10">
        <v>347.58</v>
      </c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3030.1000000000004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1944.4299999999998</v>
      </c>
    </row>
    <row r="31" spans="1:34" x14ac:dyDescent="0.2">
      <c r="A31" s="1" t="s">
        <v>17</v>
      </c>
      <c r="B31" s="6">
        <f>B29-B30</f>
        <v>1085.6700000000005</v>
      </c>
    </row>
  </sheetData>
  <conditionalFormatting sqref="B31">
    <cfRule type="cellIs" dxfId="23" priority="1" stopIfTrue="1" operator="lessThanOrEqual">
      <formula>0</formula>
    </cfRule>
    <cfRule type="cellIs" dxfId="22" priority="2" stopIfTrue="1" operator="greaterThanOrEqual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"/>
  <sheetViews>
    <sheetView workbookViewId="0">
      <selection activeCell="Z26" sqref="Z26"/>
    </sheetView>
  </sheetViews>
  <sheetFormatPr defaultRowHeight="12.75" x14ac:dyDescent="0.2"/>
  <cols>
    <col min="1" max="1" width="10.85546875" bestFit="1" customWidth="1"/>
    <col min="2" max="2" width="8.7109375" style="20" customWidth="1"/>
    <col min="3" max="3" width="2.140625" bestFit="1" customWidth="1"/>
    <col min="4" max="5" width="5.5703125" bestFit="1" customWidth="1"/>
    <col min="6" max="6" width="6.5703125" bestFit="1" customWidth="1"/>
    <col min="7" max="13" width="5.5703125" bestFit="1" customWidth="1"/>
    <col min="14" max="14" width="6.5703125" bestFit="1" customWidth="1"/>
    <col min="15" max="15" width="5.5703125" bestFit="1" customWidth="1"/>
    <col min="16" max="16" width="6.5703125" bestFit="1" customWidth="1"/>
    <col min="17" max="23" width="5.5703125" bestFit="1" customWidth="1"/>
    <col min="24" max="24" width="6.5703125" bestFit="1" customWidth="1"/>
    <col min="25" max="28" width="5.5703125" bestFit="1" customWidth="1"/>
    <col min="29" max="30" width="6.5703125" bestFit="1" customWidth="1"/>
    <col min="31" max="34" width="5.5703125" bestFit="1" customWidth="1"/>
  </cols>
  <sheetData>
    <row r="1" spans="1:34" x14ac:dyDescent="0.2">
      <c r="A1" s="1"/>
      <c r="B1" s="6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2016</v>
      </c>
      <c r="B2" s="23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6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155.4</v>
      </c>
      <c r="C4" s="3" t="s">
        <v>2</v>
      </c>
      <c r="D4" s="4"/>
      <c r="E4" s="4">
        <v>13.1</v>
      </c>
      <c r="F4" s="4"/>
      <c r="G4" s="4">
        <v>47.9</v>
      </c>
      <c r="H4" s="4"/>
      <c r="I4" s="4"/>
      <c r="J4" s="4">
        <v>10.5</v>
      </c>
      <c r="K4" s="4">
        <v>14</v>
      </c>
      <c r="L4" s="4"/>
      <c r="M4" s="4"/>
      <c r="N4" s="4">
        <v>45.7</v>
      </c>
      <c r="O4" s="4">
        <v>8.1</v>
      </c>
      <c r="P4" s="4"/>
      <c r="Q4" s="4">
        <v>10.199999999999999</v>
      </c>
      <c r="R4" s="4"/>
      <c r="S4" s="4"/>
      <c r="U4" s="4"/>
      <c r="V4" s="4">
        <v>8</v>
      </c>
      <c r="W4" s="4">
        <v>36.200000000000003</v>
      </c>
      <c r="X4" s="4">
        <v>9.4</v>
      </c>
      <c r="Y4" s="4"/>
      <c r="Z4" s="4"/>
      <c r="AA4" s="4"/>
      <c r="AB4" s="4">
        <v>6.5</v>
      </c>
      <c r="AC4" s="4">
        <v>35.799999999999997</v>
      </c>
      <c r="AD4" s="4">
        <v>21.6</v>
      </c>
      <c r="AE4" s="4">
        <v>23</v>
      </c>
      <c r="AF4" s="4">
        <v>26.4</v>
      </c>
      <c r="AG4" s="4"/>
      <c r="AH4" s="4"/>
    </row>
    <row r="5" spans="1:34" x14ac:dyDescent="0.2">
      <c r="A5" s="7">
        <f>SUM(D4:AH4)</f>
        <v>316.39999999999998</v>
      </c>
      <c r="B5" s="8">
        <f>SUM(D5:AH5)</f>
        <v>161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>
        <v>161</v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-94.579999999999984</v>
      </c>
      <c r="C6" s="3" t="s">
        <v>2</v>
      </c>
      <c r="D6" s="4">
        <v>6.95</v>
      </c>
      <c r="E6" s="4">
        <v>8.3000000000000007</v>
      </c>
      <c r="F6" s="4">
        <v>13</v>
      </c>
      <c r="G6" s="4">
        <v>75.8</v>
      </c>
      <c r="H6" s="4"/>
      <c r="I6" s="4"/>
      <c r="J6" s="4"/>
      <c r="K6" s="4"/>
      <c r="L6" s="4">
        <v>68.8</v>
      </c>
      <c r="M6" s="4">
        <v>14.5</v>
      </c>
      <c r="N6" s="4">
        <v>16.3</v>
      </c>
      <c r="O6" s="4">
        <v>28.7</v>
      </c>
      <c r="P6" s="4"/>
      <c r="Q6" s="4"/>
      <c r="R6" s="4"/>
      <c r="S6" s="4">
        <v>22.2</v>
      </c>
      <c r="T6" s="4"/>
      <c r="U6" s="4">
        <v>8.8000000000000007</v>
      </c>
      <c r="V6" s="4"/>
      <c r="W6" s="4">
        <v>12.2</v>
      </c>
      <c r="X6" s="4"/>
      <c r="Y6" s="4"/>
      <c r="Z6" s="4">
        <v>7.55</v>
      </c>
      <c r="AA6" s="4"/>
      <c r="AB6" s="4"/>
      <c r="AC6" s="4">
        <v>9.4499999999999993</v>
      </c>
      <c r="AD6" s="4"/>
      <c r="AE6" s="4"/>
      <c r="AF6" s="4"/>
      <c r="AG6" s="4"/>
      <c r="AH6" s="4"/>
    </row>
    <row r="7" spans="1:34" x14ac:dyDescent="0.2">
      <c r="A7" s="7">
        <f>SUM(D6:AH6)</f>
        <v>292.54999999999995</v>
      </c>
      <c r="B7" s="8">
        <f>SUM(D7:AH7)</f>
        <v>387.13</v>
      </c>
      <c r="C7" s="9" t="s">
        <v>3</v>
      </c>
      <c r="D7" s="10"/>
      <c r="E7" s="10"/>
      <c r="F7" s="10">
        <f>171.63+158.6+56.9</f>
        <v>387.13</v>
      </c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257.39999999999998</v>
      </c>
      <c r="C8" s="3" t="s">
        <v>2</v>
      </c>
      <c r="D8" s="4">
        <v>28.8</v>
      </c>
      <c r="E8" s="4">
        <v>6.5</v>
      </c>
      <c r="F8" s="4"/>
      <c r="G8" s="4"/>
      <c r="H8" s="4">
        <v>8.4</v>
      </c>
      <c r="I8" s="4"/>
      <c r="J8" s="4">
        <v>6.1</v>
      </c>
      <c r="K8" s="4">
        <v>17.55</v>
      </c>
      <c r="L8" s="4">
        <v>11.7</v>
      </c>
      <c r="M8" s="4">
        <v>34.799999999999997</v>
      </c>
      <c r="N8" s="4">
        <v>38</v>
      </c>
      <c r="O8" s="4"/>
      <c r="P8" s="4"/>
      <c r="Q8" s="4"/>
      <c r="R8" s="4">
        <v>8.1</v>
      </c>
      <c r="S8" s="4"/>
      <c r="T8" s="4">
        <v>15.85</v>
      </c>
      <c r="U8" s="4"/>
      <c r="V8" s="4"/>
      <c r="W8" s="4"/>
      <c r="X8" s="4"/>
      <c r="Y8" s="4">
        <v>11</v>
      </c>
      <c r="Z8" s="4">
        <v>23.2</v>
      </c>
      <c r="AA8" s="4">
        <v>12.6</v>
      </c>
      <c r="AB8" s="4">
        <v>19.8</v>
      </c>
      <c r="AC8" s="4"/>
      <c r="AD8" s="4"/>
      <c r="AE8" s="4"/>
      <c r="AF8" s="4"/>
      <c r="AG8" s="4"/>
      <c r="AH8" s="4">
        <v>15</v>
      </c>
    </row>
    <row r="9" spans="1:34" x14ac:dyDescent="0.2">
      <c r="A9" s="7">
        <f>SUM(D8:AH8)</f>
        <v>257.39999999999998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239.7</v>
      </c>
      <c r="C10" s="3" t="s">
        <v>2</v>
      </c>
      <c r="D10" s="4">
        <v>13.2</v>
      </c>
      <c r="E10" s="4">
        <v>11.4</v>
      </c>
      <c r="F10" s="4"/>
      <c r="G10" s="4"/>
      <c r="H10" s="4">
        <v>25.15</v>
      </c>
      <c r="I10" s="4">
        <v>14.5</v>
      </c>
      <c r="J10" s="4">
        <v>22.7</v>
      </c>
      <c r="K10" s="4">
        <v>10</v>
      </c>
      <c r="L10" s="4"/>
      <c r="M10" s="4"/>
      <c r="N10" s="4">
        <v>7.2</v>
      </c>
      <c r="O10" s="4">
        <v>23.5</v>
      </c>
      <c r="P10" s="4">
        <v>27.3</v>
      </c>
      <c r="Q10" s="4">
        <v>11.9</v>
      </c>
      <c r="R10" s="4">
        <v>60.95</v>
      </c>
      <c r="S10" s="4"/>
      <c r="T10" s="4"/>
      <c r="U10" s="4"/>
      <c r="V10" s="4"/>
      <c r="W10" s="4">
        <v>22.15</v>
      </c>
      <c r="X10" s="4">
        <v>8.4</v>
      </c>
      <c r="Y10" s="4">
        <v>27.7</v>
      </c>
      <c r="Z10" s="4">
        <v>15.9</v>
      </c>
      <c r="AA10" s="4"/>
      <c r="AB10" s="4"/>
      <c r="AC10" s="4">
        <v>8.4499999999999993</v>
      </c>
      <c r="AD10" s="4">
        <v>18.100000000000001</v>
      </c>
      <c r="AE10" s="4">
        <v>9.1</v>
      </c>
      <c r="AF10" s="4">
        <v>6.4</v>
      </c>
      <c r="AG10" s="4">
        <v>38.700000000000003</v>
      </c>
      <c r="AH10" s="4"/>
    </row>
    <row r="11" spans="1:34" x14ac:dyDescent="0.2">
      <c r="A11" s="7">
        <f>SUM(D10:AH10)</f>
        <v>382.7</v>
      </c>
      <c r="B11" s="8">
        <f>SUM(D11:AH11)</f>
        <v>143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>
        <v>143</v>
      </c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-136.31</v>
      </c>
      <c r="C12" s="3" t="s">
        <v>2</v>
      </c>
      <c r="D12" s="4"/>
      <c r="E12" s="4"/>
      <c r="F12" s="4">
        <v>8</v>
      </c>
      <c r="G12" s="4">
        <v>23</v>
      </c>
      <c r="H12" s="4"/>
      <c r="I12" s="4">
        <v>4</v>
      </c>
      <c r="J12" s="4">
        <v>32.5</v>
      </c>
      <c r="K12" s="4"/>
      <c r="L12" s="4"/>
      <c r="M12" s="4">
        <v>8.4</v>
      </c>
      <c r="N12" s="4">
        <v>4.2</v>
      </c>
      <c r="O12" s="4">
        <v>26.4</v>
      </c>
      <c r="P12" s="4">
        <v>20.350000000000001</v>
      </c>
      <c r="Q12" s="4">
        <v>10.4</v>
      </c>
      <c r="R12" s="4"/>
      <c r="S12" s="4"/>
      <c r="T12" s="4">
        <v>7.8</v>
      </c>
      <c r="U12" s="4">
        <v>26.2</v>
      </c>
      <c r="V12" s="4"/>
      <c r="W12" s="4"/>
      <c r="X12" s="4">
        <v>14.3</v>
      </c>
      <c r="Y12" s="4"/>
      <c r="Z12" s="4"/>
      <c r="AA12" s="4">
        <v>13.8</v>
      </c>
      <c r="AB12" s="4">
        <v>8.9499999999999993</v>
      </c>
      <c r="AC12" s="4">
        <v>13.55</v>
      </c>
      <c r="AD12" s="4"/>
      <c r="AE12" s="4"/>
      <c r="AF12" s="4"/>
      <c r="AG12" s="4"/>
      <c r="AH12" s="4">
        <v>15</v>
      </c>
    </row>
    <row r="13" spans="1:34" x14ac:dyDescent="0.2">
      <c r="A13" s="7">
        <f>SUM(D12:AH12)</f>
        <v>236.85000000000002</v>
      </c>
      <c r="B13" s="8">
        <f>SUM(D13:AH13)</f>
        <v>373.16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>
        <v>373.16</v>
      </c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71.849999999999994</v>
      </c>
      <c r="C14" s="3" t="s">
        <v>2</v>
      </c>
      <c r="D14" s="4"/>
      <c r="E14" s="4"/>
      <c r="F14" s="4">
        <v>8.4</v>
      </c>
      <c r="G14" s="4"/>
      <c r="H14" s="4"/>
      <c r="I14" s="4">
        <v>6</v>
      </c>
      <c r="J14" s="4">
        <v>24.5</v>
      </c>
      <c r="K14" s="4"/>
      <c r="L14" s="4">
        <v>7.5</v>
      </c>
      <c r="M14" s="4"/>
      <c r="N14" s="4"/>
      <c r="O14" s="4"/>
      <c r="P14" s="4"/>
      <c r="Q14" s="4"/>
      <c r="R14" s="4">
        <v>9.15</v>
      </c>
      <c r="S14" s="4"/>
      <c r="T14" s="4"/>
      <c r="U14" s="4"/>
      <c r="V14" s="4"/>
      <c r="W14" s="4">
        <v>10</v>
      </c>
      <c r="X14" s="4"/>
      <c r="Y14" s="4">
        <v>20</v>
      </c>
      <c r="Z14" s="4">
        <v>7.8</v>
      </c>
      <c r="AA14" s="4"/>
      <c r="AB14" s="4">
        <v>29</v>
      </c>
      <c r="AC14" s="4"/>
      <c r="AD14" s="4"/>
      <c r="AE14" s="4"/>
      <c r="AF14" s="4">
        <v>12.5</v>
      </c>
      <c r="AG14" s="4"/>
      <c r="AH14" s="4"/>
    </row>
    <row r="15" spans="1:34" x14ac:dyDescent="0.2">
      <c r="A15" s="7">
        <f>SUM(D14:AH14)</f>
        <v>134.85</v>
      </c>
      <c r="B15" s="8">
        <f>SUM(D15:AH15)</f>
        <v>63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>
        <v>63</v>
      </c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248.51</v>
      </c>
      <c r="C16" s="3" t="s">
        <v>2</v>
      </c>
      <c r="D16" s="4"/>
      <c r="E16" s="4"/>
      <c r="F16" s="4"/>
      <c r="G16" s="4"/>
      <c r="H16" s="4">
        <v>66.8</v>
      </c>
      <c r="I16" s="4">
        <v>5.8</v>
      </c>
      <c r="J16" s="4"/>
      <c r="K16" s="4">
        <v>7.8</v>
      </c>
      <c r="L16" s="4"/>
      <c r="M16" s="4"/>
      <c r="N16" s="4"/>
      <c r="O16" s="4">
        <v>28.05</v>
      </c>
      <c r="P16" s="4"/>
      <c r="Q16" s="4">
        <v>12</v>
      </c>
      <c r="R16" s="4">
        <v>11.3</v>
      </c>
      <c r="S16" s="4">
        <v>13.85</v>
      </c>
      <c r="T16" s="4"/>
      <c r="U16" s="4"/>
      <c r="V16" s="4"/>
      <c r="W16" s="4">
        <v>8</v>
      </c>
      <c r="X16" s="4">
        <v>64</v>
      </c>
      <c r="Y16" s="4"/>
      <c r="Z16" s="4">
        <v>26</v>
      </c>
      <c r="AA16" s="4"/>
      <c r="AB16" s="4"/>
      <c r="AC16" s="4">
        <v>37.200000000000003</v>
      </c>
      <c r="AD16" s="4"/>
      <c r="AE16" s="4">
        <v>9.6999999999999993</v>
      </c>
      <c r="AF16" s="4"/>
      <c r="AG16" s="4"/>
      <c r="AH16" s="4"/>
    </row>
    <row r="17" spans="1:34" x14ac:dyDescent="0.2">
      <c r="A17" s="7">
        <f>SUM(D16:AH16)</f>
        <v>290.5</v>
      </c>
      <c r="B17" s="8">
        <f>SUM(D17:AH17)</f>
        <v>41.99</v>
      </c>
      <c r="C17" s="9" t="s">
        <v>3</v>
      </c>
      <c r="D17" s="10"/>
      <c r="E17" s="10"/>
      <c r="F17" s="10"/>
      <c r="G17" s="10"/>
      <c r="H17" s="10">
        <v>41.99</v>
      </c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156.55000000000001</v>
      </c>
      <c r="C18" s="3" t="s">
        <v>2</v>
      </c>
      <c r="D18" s="4"/>
      <c r="E18" s="4">
        <v>16.600000000000001</v>
      </c>
      <c r="F18" s="4">
        <v>75.2</v>
      </c>
      <c r="G18" s="4">
        <v>14.35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>
        <v>50.4</v>
      </c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156.55000000000001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-307.37000000000006</v>
      </c>
      <c r="C20" s="3" t="s">
        <v>2</v>
      </c>
      <c r="D20" s="4"/>
      <c r="E20" s="4"/>
      <c r="F20" s="4"/>
      <c r="G20" s="4"/>
      <c r="H20" s="4"/>
      <c r="I20" s="4">
        <v>30.55</v>
      </c>
      <c r="J20" s="4"/>
      <c r="K20" s="4"/>
      <c r="L20" s="4">
        <v>8.5</v>
      </c>
      <c r="M20" s="4">
        <v>20.100000000000001</v>
      </c>
      <c r="N20" s="4"/>
      <c r="O20" s="4">
        <v>3.9</v>
      </c>
      <c r="P20" s="4"/>
      <c r="Q20" s="4"/>
      <c r="R20" s="4">
        <v>9.4</v>
      </c>
      <c r="S20" s="4"/>
      <c r="T20" s="4"/>
      <c r="U20" s="4"/>
      <c r="V20" s="4"/>
      <c r="W20" s="4">
        <v>8.8000000000000007</v>
      </c>
      <c r="X20" s="4">
        <v>28.9</v>
      </c>
      <c r="Y20" s="4"/>
      <c r="Z20" s="4">
        <v>6.45</v>
      </c>
      <c r="AA20" s="4"/>
      <c r="AB20" s="4"/>
      <c r="AC20" s="4">
        <v>8.1999999999999993</v>
      </c>
      <c r="AD20" s="4">
        <v>7.5</v>
      </c>
      <c r="AE20" s="4"/>
      <c r="AF20" s="4"/>
      <c r="AG20" s="4">
        <v>6</v>
      </c>
      <c r="AH20" s="4"/>
    </row>
    <row r="21" spans="1:34" x14ac:dyDescent="0.2">
      <c r="A21" s="7">
        <f>SUM(D20:AH20)</f>
        <v>138.30000000000001</v>
      </c>
      <c r="B21" s="8">
        <f>SUM(D21:AH21)</f>
        <v>445.67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>
        <f>230.9+214.77</f>
        <v>445.67</v>
      </c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233.24999999999997</v>
      </c>
      <c r="C22" s="3" t="s">
        <v>2</v>
      </c>
      <c r="D22" s="4">
        <v>7.8</v>
      </c>
      <c r="E22" s="4"/>
      <c r="F22" s="4"/>
      <c r="G22" s="4">
        <v>39.6</v>
      </c>
      <c r="H22" s="4">
        <v>11.25</v>
      </c>
      <c r="I22" s="4">
        <v>21.9</v>
      </c>
      <c r="J22" s="4">
        <v>62.4</v>
      </c>
      <c r="K22" s="4">
        <v>28.7</v>
      </c>
      <c r="L22" s="4"/>
      <c r="M22" s="4"/>
      <c r="N22" s="4">
        <v>19.3</v>
      </c>
      <c r="O22" s="4"/>
      <c r="P22" s="4">
        <v>13.2</v>
      </c>
      <c r="Q22" s="4"/>
      <c r="R22" s="4">
        <v>11.25</v>
      </c>
      <c r="S22" s="4"/>
      <c r="U22" s="4">
        <v>16.25</v>
      </c>
      <c r="V22" s="4">
        <v>43.9</v>
      </c>
      <c r="W22" s="4"/>
      <c r="X22" s="4"/>
      <c r="Y22" s="4">
        <v>11.7</v>
      </c>
      <c r="Z22" s="4"/>
      <c r="AA22" s="4"/>
      <c r="AB22" s="4"/>
      <c r="AC22" s="4">
        <v>16</v>
      </c>
      <c r="AD22" s="4">
        <v>10.9</v>
      </c>
      <c r="AE22" s="4">
        <v>10</v>
      </c>
      <c r="AF22" s="4">
        <v>9.1</v>
      </c>
      <c r="AG22" s="4"/>
      <c r="AH22" s="4"/>
    </row>
    <row r="23" spans="1:34" x14ac:dyDescent="0.2">
      <c r="A23" s="7">
        <f>SUM(D22:AH22)</f>
        <v>333.24999999999994</v>
      </c>
      <c r="B23" s="8">
        <f>SUM(D23:AH23)</f>
        <v>100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>
        <v>100</v>
      </c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-171.44000000000011</v>
      </c>
      <c r="C24" s="3" t="s">
        <v>2</v>
      </c>
      <c r="D24" s="4"/>
      <c r="E24" s="4"/>
      <c r="F24" s="4">
        <v>51</v>
      </c>
      <c r="G24" s="4">
        <v>9.75</v>
      </c>
      <c r="I24" s="4"/>
      <c r="J24" s="4">
        <v>10.5</v>
      </c>
      <c r="K24" s="4">
        <v>21.3</v>
      </c>
      <c r="L24" s="4">
        <v>19.8</v>
      </c>
      <c r="M24" s="4">
        <v>17.600000000000001</v>
      </c>
      <c r="N24" s="4">
        <v>36.950000000000003</v>
      </c>
      <c r="O24" s="4">
        <v>12</v>
      </c>
      <c r="P24" s="4"/>
      <c r="Q24" s="4"/>
      <c r="R24" s="4"/>
      <c r="S24" s="4">
        <v>7.2</v>
      </c>
      <c r="T24" s="4">
        <v>6.8</v>
      </c>
      <c r="U24" s="4"/>
      <c r="V24" s="4">
        <v>10.4</v>
      </c>
      <c r="W24" s="4"/>
      <c r="X24" s="4"/>
      <c r="Y24" s="4">
        <v>10.4</v>
      </c>
      <c r="Z24" s="4">
        <v>8.6999999999999993</v>
      </c>
      <c r="AA24" s="4"/>
      <c r="AB24" s="4"/>
      <c r="AC24" s="4">
        <v>18</v>
      </c>
      <c r="AD24" s="4"/>
      <c r="AE24" s="4">
        <v>34.299999999999997</v>
      </c>
      <c r="AF24" s="4">
        <v>52.2</v>
      </c>
      <c r="AG24" s="4"/>
      <c r="AH24" s="4"/>
    </row>
    <row r="25" spans="1:34" x14ac:dyDescent="0.2">
      <c r="A25" s="7">
        <f>SUM(D24:AH24)</f>
        <v>326.89999999999998</v>
      </c>
      <c r="B25" s="8">
        <f>SUM(D25:AH25)</f>
        <v>498.34000000000003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>
        <f>328.62+127.12+42.6</f>
        <v>498.34000000000003</v>
      </c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311.40000000000003</v>
      </c>
      <c r="C26" s="3" t="s">
        <v>2</v>
      </c>
      <c r="D26" s="4">
        <v>9.1</v>
      </c>
      <c r="E26" s="4">
        <v>12.45</v>
      </c>
      <c r="F26" s="4">
        <v>35.799999999999997</v>
      </c>
      <c r="G26" s="4"/>
      <c r="H26" s="4">
        <v>7.2</v>
      </c>
      <c r="I26" s="4">
        <v>8.0500000000000007</v>
      </c>
      <c r="J26" s="4"/>
      <c r="K26" s="4"/>
      <c r="L26" s="4">
        <v>16.3</v>
      </c>
      <c r="M26" s="4">
        <v>12.8</v>
      </c>
      <c r="N26" s="4"/>
      <c r="O26" s="4">
        <v>23.2</v>
      </c>
      <c r="P26" s="4">
        <v>13.6</v>
      </c>
      <c r="Q26" s="4">
        <v>7.1</v>
      </c>
      <c r="R26" s="4">
        <v>25.5</v>
      </c>
      <c r="S26" s="4"/>
      <c r="T26" s="4">
        <v>9</v>
      </c>
      <c r="U26" s="4"/>
      <c r="V26" s="4">
        <v>15</v>
      </c>
      <c r="W26" s="4">
        <v>16.8</v>
      </c>
      <c r="X26" s="4">
        <v>14.2</v>
      </c>
      <c r="Y26" s="4">
        <v>10.4</v>
      </c>
      <c r="Z26" s="4">
        <v>10.9</v>
      </c>
      <c r="AA26" s="4"/>
      <c r="AB26" s="4"/>
      <c r="AC26" s="4"/>
      <c r="AD26" s="4">
        <v>10.75</v>
      </c>
      <c r="AE26" s="4">
        <v>10.8</v>
      </c>
      <c r="AF26" s="4">
        <v>25.85</v>
      </c>
      <c r="AG26" s="4">
        <v>16.600000000000001</v>
      </c>
      <c r="AH26" s="4"/>
    </row>
    <row r="27" spans="1:34" x14ac:dyDescent="0.2">
      <c r="A27" s="7">
        <f>SUM(D26:AH26)</f>
        <v>311.40000000000003</v>
      </c>
      <c r="B27" s="8">
        <f>SUM(D27:AH27)</f>
        <v>0</v>
      </c>
      <c r="C27" s="9" t="s">
        <v>3</v>
      </c>
      <c r="D27" s="10"/>
      <c r="E27" s="10"/>
      <c r="F27" s="10"/>
      <c r="G27" s="10"/>
      <c r="H27" s="12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23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3177.65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2213.29</v>
      </c>
    </row>
    <row r="31" spans="1:34" x14ac:dyDescent="0.2">
      <c r="A31" s="1" t="s">
        <v>17</v>
      </c>
      <c r="B31" s="6">
        <f>B29-B30</f>
        <v>964.36000000000013</v>
      </c>
    </row>
  </sheetData>
  <conditionalFormatting sqref="B31">
    <cfRule type="cellIs" dxfId="21" priority="1" stopIfTrue="1" operator="lessThanOrEqual">
      <formula>0</formula>
    </cfRule>
    <cfRule type="cellIs" dxfId="20" priority="2" stopIfTrue="1" operator="greater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"/>
  <sheetViews>
    <sheetView workbookViewId="0">
      <selection activeCell="AG27" sqref="AG27"/>
    </sheetView>
  </sheetViews>
  <sheetFormatPr defaultRowHeight="12.75" x14ac:dyDescent="0.2"/>
  <cols>
    <col min="1" max="1" width="10.85546875" bestFit="1" customWidth="1"/>
    <col min="2" max="2" width="8.7109375" customWidth="1"/>
    <col min="3" max="3" width="2.140625" bestFit="1" customWidth="1"/>
    <col min="4" max="7" width="5.5703125" bestFit="1" customWidth="1"/>
    <col min="8" max="9" width="6.5703125" bestFit="1" customWidth="1"/>
    <col min="10" max="11" width="5.5703125" bestFit="1" customWidth="1"/>
    <col min="12" max="12" width="6.5703125" bestFit="1" customWidth="1"/>
    <col min="13" max="15" width="5.5703125" bestFit="1" customWidth="1"/>
    <col min="16" max="16" width="6.5703125" bestFit="1" customWidth="1"/>
    <col min="17" max="19" width="5.5703125" bestFit="1" customWidth="1"/>
    <col min="20" max="20" width="6.5703125" bestFit="1" customWidth="1"/>
    <col min="21" max="27" width="5.5703125" bestFit="1" customWidth="1"/>
    <col min="28" max="29" width="6.5703125" bestFit="1" customWidth="1"/>
    <col min="30" max="33" width="5.5703125" bestFit="1" customWidth="1"/>
    <col min="34" max="34" width="4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2017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154.9</v>
      </c>
      <c r="C4" s="3" t="s">
        <v>2</v>
      </c>
      <c r="D4" s="4"/>
      <c r="E4" s="4"/>
      <c r="F4" s="4">
        <v>34.1</v>
      </c>
      <c r="G4" s="4"/>
      <c r="H4" s="4">
        <v>10.6</v>
      </c>
      <c r="I4" s="4"/>
      <c r="J4" s="4">
        <v>10.7</v>
      </c>
      <c r="K4" s="4"/>
      <c r="L4" s="4"/>
      <c r="M4" s="4">
        <v>6</v>
      </c>
      <c r="N4" s="4"/>
      <c r="O4" s="4">
        <v>5</v>
      </c>
      <c r="P4" s="4"/>
      <c r="Q4" s="4">
        <v>6.9</v>
      </c>
      <c r="R4" s="4"/>
      <c r="S4" s="4">
        <v>6.6</v>
      </c>
      <c r="T4" s="4">
        <v>8</v>
      </c>
      <c r="U4" s="4">
        <v>26</v>
      </c>
      <c r="V4" s="4">
        <v>6.6</v>
      </c>
      <c r="W4" s="4"/>
      <c r="X4" s="4">
        <v>3.9</v>
      </c>
      <c r="Y4" s="4"/>
      <c r="Z4" s="4"/>
      <c r="AA4" s="4">
        <v>22.2</v>
      </c>
      <c r="AB4" s="4"/>
      <c r="AC4" s="4"/>
      <c r="AD4" s="4"/>
      <c r="AE4" s="4"/>
      <c r="AF4" s="4"/>
      <c r="AG4" s="4"/>
      <c r="AH4" s="4">
        <v>8.3000000000000007</v>
      </c>
    </row>
    <row r="5" spans="1:34" x14ac:dyDescent="0.2">
      <c r="A5" s="7">
        <f>SUM(D4:AH4)</f>
        <v>154.9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-12.150000000000013</v>
      </c>
      <c r="C6" s="3" t="s">
        <v>2</v>
      </c>
      <c r="D6" s="4"/>
      <c r="E6" s="4"/>
      <c r="F6" s="4">
        <v>6.5</v>
      </c>
      <c r="G6" s="4"/>
      <c r="H6" s="4"/>
      <c r="I6" s="4">
        <v>29</v>
      </c>
      <c r="J6" s="4">
        <v>33</v>
      </c>
      <c r="K6" s="4">
        <v>20</v>
      </c>
      <c r="L6" s="4">
        <v>14.4</v>
      </c>
      <c r="M6" s="4">
        <v>26.4</v>
      </c>
      <c r="N6" s="4">
        <v>14.8</v>
      </c>
      <c r="O6" s="4"/>
      <c r="P6" s="4"/>
      <c r="Q6" s="4"/>
      <c r="R6" s="4">
        <v>23.3</v>
      </c>
      <c r="S6" s="4">
        <v>10.4</v>
      </c>
      <c r="T6" s="4">
        <v>14.85</v>
      </c>
      <c r="U6" s="4"/>
      <c r="V6" s="4"/>
      <c r="W6" s="4">
        <v>8.4</v>
      </c>
      <c r="X6" s="4">
        <v>14</v>
      </c>
      <c r="Y6" s="4">
        <v>15.6</v>
      </c>
      <c r="Z6" s="4"/>
      <c r="AA6" s="4">
        <v>10</v>
      </c>
      <c r="AB6" s="4"/>
      <c r="AC6" s="4"/>
      <c r="AD6" s="4"/>
      <c r="AE6" s="4">
        <v>34</v>
      </c>
      <c r="AF6" s="4"/>
      <c r="AG6" s="4"/>
      <c r="AH6" s="4"/>
    </row>
    <row r="7" spans="1:34" x14ac:dyDescent="0.2">
      <c r="A7" s="7">
        <f>SUM(D6:AH6)</f>
        <v>274.65000000000003</v>
      </c>
      <c r="B7" s="8">
        <f>SUM(D7:AH7)</f>
        <v>286.8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>
        <v>286.8</v>
      </c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287.09999999999997</v>
      </c>
      <c r="C8" s="3" t="s">
        <v>2</v>
      </c>
      <c r="D8" s="4"/>
      <c r="E8" s="4">
        <v>23.6</v>
      </c>
      <c r="F8" s="4">
        <v>8.1999999999999993</v>
      </c>
      <c r="G8" s="4">
        <v>19.8</v>
      </c>
      <c r="H8" s="4"/>
      <c r="I8" s="4">
        <v>11.15</v>
      </c>
      <c r="J8" s="4">
        <v>34.299999999999997</v>
      </c>
      <c r="K8" s="4">
        <v>8.4</v>
      </c>
      <c r="L8" s="4"/>
      <c r="M8" s="4">
        <v>38.200000000000003</v>
      </c>
      <c r="N8" s="4">
        <v>10.55</v>
      </c>
      <c r="O8" s="4"/>
      <c r="P8" s="4"/>
      <c r="Q8" s="4">
        <v>21.6</v>
      </c>
      <c r="R8" s="4"/>
      <c r="S8" s="4"/>
      <c r="T8" s="4">
        <v>6.6</v>
      </c>
      <c r="U8" s="4">
        <v>12</v>
      </c>
      <c r="V8" s="4"/>
      <c r="W8" s="4">
        <v>11</v>
      </c>
      <c r="X8" s="4"/>
      <c r="Y8" s="4">
        <v>25.75</v>
      </c>
      <c r="Z8" s="4">
        <v>10.5</v>
      </c>
      <c r="AA8" s="4">
        <v>11.7</v>
      </c>
      <c r="AB8" s="4">
        <v>12.85</v>
      </c>
      <c r="AC8" s="4"/>
      <c r="AD8" s="4"/>
      <c r="AE8" s="4"/>
      <c r="AF8" s="4">
        <v>12</v>
      </c>
      <c r="AG8" s="4"/>
      <c r="AH8" s="4">
        <v>8.9</v>
      </c>
    </row>
    <row r="9" spans="1:34" x14ac:dyDescent="0.2">
      <c r="A9" s="7">
        <f>SUM(D8:AH8)</f>
        <v>287.09999999999997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286.39999999999998</v>
      </c>
      <c r="C10" s="3" t="s">
        <v>2</v>
      </c>
      <c r="D10" s="4"/>
      <c r="E10" s="4">
        <v>22</v>
      </c>
      <c r="F10" s="4"/>
      <c r="G10" s="4"/>
      <c r="H10" s="4">
        <v>13.2</v>
      </c>
      <c r="I10" s="4">
        <v>51.45</v>
      </c>
      <c r="J10" s="4"/>
      <c r="K10" s="4">
        <v>15.95</v>
      </c>
      <c r="L10" s="4"/>
      <c r="M10" s="4">
        <v>6.9</v>
      </c>
      <c r="N10" s="4">
        <v>10.6</v>
      </c>
      <c r="O10" s="4">
        <v>15.5</v>
      </c>
      <c r="P10" s="4">
        <v>8.9499999999999993</v>
      </c>
      <c r="Q10" s="4">
        <v>4.95</v>
      </c>
      <c r="R10" s="4"/>
      <c r="S10" s="4"/>
      <c r="T10" s="4"/>
      <c r="U10" s="4">
        <v>68.7</v>
      </c>
      <c r="V10" s="4"/>
      <c r="W10" s="4">
        <v>5.4</v>
      </c>
      <c r="X10" s="4">
        <v>8.6999999999999993</v>
      </c>
      <c r="Y10" s="4">
        <v>5.4</v>
      </c>
      <c r="Z10" s="4"/>
      <c r="AA10" s="4"/>
      <c r="AB10" s="4"/>
      <c r="AC10" s="4"/>
      <c r="AD10" s="4"/>
      <c r="AE10" s="4">
        <v>33.4</v>
      </c>
      <c r="AF10" s="4">
        <v>15.3</v>
      </c>
      <c r="AH10" s="4"/>
    </row>
    <row r="11" spans="1:34" x14ac:dyDescent="0.2">
      <c r="A11" s="7">
        <f>SUM(D10:AH10)</f>
        <v>286.39999999999998</v>
      </c>
      <c r="B11" s="8">
        <f>SUM(D11:AH11)</f>
        <v>0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-291.28000000000009</v>
      </c>
      <c r="C12" s="3" t="s">
        <v>2</v>
      </c>
      <c r="D12" s="4"/>
      <c r="E12" s="4">
        <v>8.6</v>
      </c>
      <c r="F12" s="4"/>
      <c r="G12" s="4">
        <v>5.6</v>
      </c>
      <c r="H12" s="4">
        <v>8.25</v>
      </c>
      <c r="I12" s="4"/>
      <c r="J12" s="4"/>
      <c r="K12" s="4">
        <v>8.1999999999999993</v>
      </c>
      <c r="L12" s="4"/>
      <c r="M12" s="4">
        <v>8.5</v>
      </c>
      <c r="N12" s="4">
        <v>11</v>
      </c>
      <c r="O12" s="4">
        <v>27.6</v>
      </c>
      <c r="P12" s="4">
        <v>9.9</v>
      </c>
      <c r="Q12" s="4"/>
      <c r="R12" s="4"/>
      <c r="S12" s="4">
        <v>17.8</v>
      </c>
      <c r="T12" s="4">
        <v>21.25</v>
      </c>
      <c r="U12" s="4"/>
      <c r="V12" s="4"/>
      <c r="W12" s="4">
        <v>6.9</v>
      </c>
      <c r="X12" s="4"/>
      <c r="Y12" s="4"/>
      <c r="Z12" s="4"/>
      <c r="AA12" s="4">
        <v>56.05</v>
      </c>
      <c r="AB12" s="4"/>
      <c r="AC12" s="4"/>
      <c r="AD12" s="4">
        <v>24.4</v>
      </c>
      <c r="AE12" s="4"/>
      <c r="AF12" s="4">
        <v>7.15</v>
      </c>
      <c r="AG12" s="4">
        <v>7.95</v>
      </c>
      <c r="AH12" s="4"/>
    </row>
    <row r="13" spans="1:34" x14ac:dyDescent="0.2">
      <c r="A13" s="7">
        <f>SUM(D12:AH12)</f>
        <v>229.14999999999998</v>
      </c>
      <c r="B13" s="8">
        <f>SUM(D13:AH13)</f>
        <v>520.43000000000006</v>
      </c>
      <c r="C13" s="9" t="s">
        <v>3</v>
      </c>
      <c r="D13" s="10"/>
      <c r="E13" s="10"/>
      <c r="F13" s="10"/>
      <c r="G13" s="10"/>
      <c r="H13" s="10">
        <v>210</v>
      </c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>
        <v>310.43</v>
      </c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167.54999999999998</v>
      </c>
      <c r="C14" s="3" t="s">
        <v>2</v>
      </c>
      <c r="D14" s="4"/>
      <c r="E14" s="4"/>
      <c r="F14" s="4">
        <v>34.9</v>
      </c>
      <c r="G14" s="4"/>
      <c r="H14" s="4"/>
      <c r="I14" s="4">
        <v>8.1</v>
      </c>
      <c r="J14" s="4">
        <v>16.899999999999999</v>
      </c>
      <c r="K14" s="4">
        <v>10.4</v>
      </c>
      <c r="L14" s="4">
        <v>7.5</v>
      </c>
      <c r="M14" s="4">
        <v>8</v>
      </c>
      <c r="N14" s="4"/>
      <c r="O14" s="4"/>
      <c r="P14" s="4"/>
      <c r="Q14" s="4">
        <v>28.1</v>
      </c>
      <c r="R14" s="4">
        <v>8.5</v>
      </c>
      <c r="S14" s="4"/>
      <c r="T14" s="4">
        <v>9.1</v>
      </c>
      <c r="U14" s="4"/>
      <c r="V14" s="4"/>
      <c r="W14" s="4"/>
      <c r="X14" s="4">
        <v>6</v>
      </c>
      <c r="Y14" s="4"/>
      <c r="Z14" s="4">
        <v>3.95</v>
      </c>
      <c r="AA14" s="4">
        <v>10.4</v>
      </c>
      <c r="AB14" s="4"/>
      <c r="AC14" s="4"/>
      <c r="AD14" s="4"/>
      <c r="AE14" s="4">
        <v>15.7</v>
      </c>
      <c r="AF14" s="4"/>
      <c r="AG14" s="4"/>
      <c r="AH14" s="4"/>
    </row>
    <row r="15" spans="1:34" x14ac:dyDescent="0.2">
      <c r="A15" s="7">
        <f>SUM(D14:AH14)</f>
        <v>167.54999999999998</v>
      </c>
      <c r="B15" s="8">
        <f>SUM(D15:AH15)</f>
        <v>0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-26.629999999999995</v>
      </c>
      <c r="C16" s="3" t="s">
        <v>2</v>
      </c>
      <c r="D16" s="4"/>
      <c r="E16" s="4">
        <v>8</v>
      </c>
      <c r="F16" s="4"/>
      <c r="G16" s="4"/>
      <c r="H16" s="4">
        <v>5.2</v>
      </c>
      <c r="I16" s="4">
        <v>28</v>
      </c>
      <c r="J16" s="4"/>
      <c r="K16" s="4"/>
      <c r="L16" s="4"/>
      <c r="M16" s="4"/>
      <c r="N16" s="4">
        <v>9</v>
      </c>
      <c r="O16" s="4"/>
      <c r="P16" s="4"/>
      <c r="Q16" s="4">
        <v>22.4</v>
      </c>
      <c r="R16" s="4">
        <v>5.4</v>
      </c>
      <c r="S16" s="4"/>
      <c r="T16" s="4">
        <v>20.6</v>
      </c>
      <c r="U16" s="4">
        <v>16</v>
      </c>
      <c r="V16" s="4">
        <v>14</v>
      </c>
      <c r="W16" s="4"/>
      <c r="X16" s="4"/>
      <c r="Y16" s="4"/>
      <c r="Z16" s="4"/>
      <c r="AA16" s="4"/>
      <c r="AB16" s="4"/>
      <c r="AC16" s="4">
        <v>6.5</v>
      </c>
      <c r="AD16" s="4"/>
      <c r="AE16" s="4"/>
      <c r="AF16" s="4">
        <v>15</v>
      </c>
      <c r="AG16" s="4"/>
      <c r="AH16" s="4"/>
    </row>
    <row r="17" spans="1:34" x14ac:dyDescent="0.2">
      <c r="A17" s="7">
        <f>SUM(D16:AH16)</f>
        <v>150.1</v>
      </c>
      <c r="B17" s="8">
        <f>SUM(D17:AH17)</f>
        <v>176.73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>
        <v>176.73</v>
      </c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0</v>
      </c>
      <c r="C18" s="3" t="s">
        <v>2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0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-33.58</v>
      </c>
      <c r="C20" s="3" t="s">
        <v>2</v>
      </c>
      <c r="D20" s="4"/>
      <c r="E20" s="4"/>
      <c r="F20" s="4"/>
      <c r="G20" s="4">
        <v>16.600000000000001</v>
      </c>
      <c r="H20" s="4">
        <v>5</v>
      </c>
      <c r="I20" s="4"/>
      <c r="J20" s="4">
        <v>20</v>
      </c>
      <c r="K20" s="4"/>
      <c r="L20" s="4"/>
      <c r="M20" s="4"/>
      <c r="N20" s="4"/>
      <c r="O20" s="4"/>
      <c r="P20" s="4">
        <v>12.5</v>
      </c>
      <c r="Q20" s="4">
        <v>11.7</v>
      </c>
      <c r="R20" s="4">
        <v>8.9</v>
      </c>
      <c r="S20" s="4">
        <v>11.9</v>
      </c>
      <c r="T20" s="4"/>
      <c r="U20" s="4">
        <v>18.8</v>
      </c>
      <c r="V20" s="4">
        <v>28</v>
      </c>
      <c r="W20" s="4">
        <v>20.9</v>
      </c>
      <c r="X20" s="4">
        <v>10.85</v>
      </c>
      <c r="Y20" s="4"/>
      <c r="Z20" s="4">
        <v>37.4</v>
      </c>
      <c r="AA20" s="4"/>
      <c r="AB20" s="4"/>
      <c r="AC20" s="4">
        <v>60.3</v>
      </c>
      <c r="AD20" s="4">
        <v>40</v>
      </c>
      <c r="AE20" s="4"/>
      <c r="AF20" s="4">
        <v>6</v>
      </c>
      <c r="AG20" s="4">
        <v>8</v>
      </c>
      <c r="AH20" s="4"/>
    </row>
    <row r="21" spans="1:34" x14ac:dyDescent="0.2">
      <c r="A21" s="7">
        <f>SUM(D20:AH20)</f>
        <v>316.85000000000002</v>
      </c>
      <c r="B21" s="8">
        <f>SUM(D21:AH21)</f>
        <v>350.43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>
        <v>350.43</v>
      </c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340.34999999999997</v>
      </c>
      <c r="C22" s="3" t="s">
        <v>2</v>
      </c>
      <c r="D22" s="4"/>
      <c r="E22" s="4"/>
      <c r="F22" s="4">
        <v>18.2</v>
      </c>
      <c r="G22" s="4"/>
      <c r="H22" s="4">
        <v>54</v>
      </c>
      <c r="I22" s="4">
        <v>34.450000000000003</v>
      </c>
      <c r="J22" s="4">
        <v>31.75</v>
      </c>
      <c r="K22" s="4"/>
      <c r="L22" s="4"/>
      <c r="M22" s="4">
        <v>19.3</v>
      </c>
      <c r="N22" s="4">
        <v>12</v>
      </c>
      <c r="O22" s="4">
        <v>15.4</v>
      </c>
      <c r="P22" s="4">
        <v>6.25</v>
      </c>
      <c r="Q22" s="4"/>
      <c r="R22" s="4"/>
      <c r="S22" s="4"/>
      <c r="T22" s="4">
        <v>8</v>
      </c>
      <c r="U22" s="4">
        <v>13.15</v>
      </c>
      <c r="V22" s="4">
        <v>24.75</v>
      </c>
      <c r="W22" s="4">
        <v>8.5</v>
      </c>
      <c r="X22" s="4">
        <v>14</v>
      </c>
      <c r="Y22" s="4"/>
      <c r="Z22" s="4">
        <v>28.5</v>
      </c>
      <c r="AA22" s="4">
        <v>7.9</v>
      </c>
      <c r="AB22" s="4"/>
      <c r="AC22" s="4">
        <v>8.5</v>
      </c>
      <c r="AD22" s="4">
        <v>16.3</v>
      </c>
      <c r="AE22" s="4">
        <v>10.9</v>
      </c>
      <c r="AF22" s="4"/>
      <c r="AG22" s="4"/>
      <c r="AH22" s="4">
        <v>8.5</v>
      </c>
    </row>
    <row r="23" spans="1:34" x14ac:dyDescent="0.2">
      <c r="A23" s="7">
        <f>SUM(D22:AH22)</f>
        <v>340.34999999999997</v>
      </c>
      <c r="B23" s="8">
        <f>SUM(D23:AH23)</f>
        <v>0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-70.010000000000076</v>
      </c>
      <c r="C24" s="3" t="s">
        <v>2</v>
      </c>
      <c r="D24" s="4"/>
      <c r="E24" s="4"/>
      <c r="F24" s="4">
        <v>9</v>
      </c>
      <c r="G24" s="4">
        <v>15.15</v>
      </c>
      <c r="I24" s="4"/>
      <c r="J24" s="4"/>
      <c r="K24" s="4">
        <v>7.8</v>
      </c>
      <c r="L24" s="4">
        <v>11</v>
      </c>
      <c r="M24" s="4">
        <v>34.65</v>
      </c>
      <c r="N24" s="4"/>
      <c r="O24" s="4"/>
      <c r="P24" s="4">
        <v>7.5</v>
      </c>
      <c r="Q24" s="4">
        <v>36.200000000000003</v>
      </c>
      <c r="R24" s="4">
        <v>86.5</v>
      </c>
      <c r="S24" s="4"/>
      <c r="T24" s="4">
        <v>7.6</v>
      </c>
      <c r="U24" s="4"/>
      <c r="V24" s="4"/>
      <c r="W24" s="4"/>
      <c r="X24" s="4">
        <v>9</v>
      </c>
      <c r="Y24" s="4">
        <v>12</v>
      </c>
      <c r="Z24" s="4"/>
      <c r="AA24" s="4">
        <v>9.4</v>
      </c>
      <c r="AB24" s="4">
        <v>11.6</v>
      </c>
      <c r="AC24" s="4"/>
      <c r="AD24" s="4">
        <v>5</v>
      </c>
      <c r="AE24" s="4">
        <v>10.199999999999999</v>
      </c>
      <c r="AF24" s="4">
        <v>19.05</v>
      </c>
      <c r="AG24" s="4"/>
      <c r="AH24" s="4"/>
    </row>
    <row r="25" spans="1:34" x14ac:dyDescent="0.2">
      <c r="A25" s="7">
        <f>SUM(D24:AH24)</f>
        <v>291.65000000000003</v>
      </c>
      <c r="B25" s="8">
        <f>SUM(D25:AH25)</f>
        <v>361.66</v>
      </c>
      <c r="C25" s="9" t="s">
        <v>3</v>
      </c>
      <c r="D25" s="10"/>
      <c r="E25" s="10"/>
      <c r="F25" s="10"/>
      <c r="G25" s="10"/>
      <c r="H25" s="10"/>
      <c r="I25" s="10">
        <v>361.66</v>
      </c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108.84</v>
      </c>
      <c r="C26" s="3" t="s">
        <v>2</v>
      </c>
      <c r="D26" s="4">
        <v>17.2</v>
      </c>
      <c r="E26" s="4">
        <v>46.2</v>
      </c>
      <c r="F26" s="4"/>
      <c r="G26" s="4"/>
      <c r="H26" s="4">
        <v>20.9</v>
      </c>
      <c r="I26" s="4">
        <v>11.5</v>
      </c>
      <c r="J26" s="4"/>
      <c r="K26" s="4"/>
      <c r="L26" s="4">
        <v>13</v>
      </c>
      <c r="M26" s="4"/>
      <c r="N26" s="4"/>
      <c r="O26" s="4">
        <v>8</v>
      </c>
      <c r="P26" s="4">
        <v>35.799999999999997</v>
      </c>
      <c r="Q26" s="4">
        <v>18</v>
      </c>
      <c r="R26" s="4">
        <v>25.5</v>
      </c>
      <c r="S26" s="4">
        <v>21.6</v>
      </c>
      <c r="T26" s="4"/>
      <c r="U26" s="4"/>
      <c r="V26" s="4">
        <v>88.8</v>
      </c>
      <c r="W26" s="4">
        <v>32.5</v>
      </c>
      <c r="X26" s="4">
        <v>40.299999999999997</v>
      </c>
      <c r="Y26" s="4">
        <v>23.5</v>
      </c>
      <c r="Z26" s="4">
        <v>6.8</v>
      </c>
      <c r="AA26" s="4"/>
      <c r="AB26" s="4"/>
      <c r="AC26" s="4"/>
      <c r="AD26" s="4"/>
      <c r="AE26" s="4">
        <v>11</v>
      </c>
      <c r="AF26" s="4">
        <v>21.7</v>
      </c>
      <c r="AG26" s="4">
        <v>15.35</v>
      </c>
      <c r="AH26" s="4"/>
    </row>
    <row r="27" spans="1:34" x14ac:dyDescent="0.2">
      <c r="A27" s="7">
        <f>SUM(D26:AH26)</f>
        <v>457.65000000000003</v>
      </c>
      <c r="B27" s="8">
        <f>SUM(D27:AH27)</f>
        <v>348.81</v>
      </c>
      <c r="C27" s="9" t="s">
        <v>3</v>
      </c>
      <c r="D27" s="10"/>
      <c r="E27" s="10"/>
      <c r="F27" s="10"/>
      <c r="G27" s="10"/>
      <c r="H27" s="12"/>
      <c r="I27" s="11"/>
      <c r="J27" s="10"/>
      <c r="K27" s="10"/>
      <c r="L27" s="10"/>
      <c r="M27" s="10"/>
      <c r="N27" s="10"/>
      <c r="O27" s="10"/>
      <c r="P27" s="10">
        <v>348.81</v>
      </c>
      <c r="Q27" s="10"/>
      <c r="R27" s="10"/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2956.3499999999995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2044.8600000000001</v>
      </c>
    </row>
    <row r="31" spans="1:34" x14ac:dyDescent="0.2">
      <c r="A31" s="1" t="s">
        <v>17</v>
      </c>
      <c r="B31" s="6">
        <f>B29-B30</f>
        <v>911.48999999999933</v>
      </c>
    </row>
  </sheetData>
  <conditionalFormatting sqref="B31">
    <cfRule type="cellIs" dxfId="19" priority="1" stopIfTrue="1" operator="lessThanOrEqual">
      <formula>0</formula>
    </cfRule>
    <cfRule type="cellIs" dxfId="18" priority="2" stopIfTrue="1" operator="greaterThanOr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"/>
  <sheetViews>
    <sheetView workbookViewId="0">
      <selection activeCell="AH27" sqref="AH27"/>
    </sheetView>
  </sheetViews>
  <sheetFormatPr defaultRowHeight="12.75" x14ac:dyDescent="0.2"/>
  <cols>
    <col min="1" max="1" width="10.85546875" bestFit="1" customWidth="1"/>
    <col min="2" max="2" width="8.7109375" customWidth="1"/>
    <col min="3" max="3" width="2.140625" bestFit="1" customWidth="1"/>
    <col min="4" max="12" width="5.5703125" bestFit="1" customWidth="1"/>
    <col min="13" max="13" width="6.5703125" bestFit="1" customWidth="1"/>
    <col min="14" max="14" width="5.5703125" bestFit="1" customWidth="1"/>
    <col min="15" max="15" width="6.5703125" bestFit="1" customWidth="1"/>
    <col min="16" max="16" width="5.5703125" bestFit="1" customWidth="1"/>
    <col min="17" max="17" width="4.5703125" bestFit="1" customWidth="1"/>
    <col min="18" max="24" width="5.5703125" bestFit="1" customWidth="1"/>
    <col min="25" max="25" width="7.28515625" bestFit="1" customWidth="1"/>
    <col min="26" max="32" width="5.5703125" bestFit="1" customWidth="1"/>
    <col min="33" max="33" width="4.5703125" bestFit="1" customWidth="1"/>
    <col min="34" max="34" width="6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2018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-123.35</v>
      </c>
      <c r="C4" s="3" t="s">
        <v>2</v>
      </c>
      <c r="D4" s="4"/>
      <c r="E4" s="4">
        <v>13.5</v>
      </c>
      <c r="F4" s="4">
        <v>51.4</v>
      </c>
      <c r="G4" s="4"/>
      <c r="H4" s="4">
        <v>29.8</v>
      </c>
      <c r="I4" s="4"/>
      <c r="J4" s="4"/>
      <c r="K4" s="4">
        <v>14.5</v>
      </c>
      <c r="L4" s="4">
        <v>8.6</v>
      </c>
      <c r="M4" s="4"/>
      <c r="N4" s="4"/>
      <c r="O4" s="4">
        <v>6.8</v>
      </c>
      <c r="P4" s="4"/>
      <c r="Q4" s="4"/>
      <c r="R4" s="4"/>
      <c r="S4" s="4">
        <v>6.2</v>
      </c>
      <c r="T4" s="20">
        <v>8.9</v>
      </c>
      <c r="U4" s="4">
        <v>20.9</v>
      </c>
      <c r="V4" s="4"/>
      <c r="W4" s="4"/>
      <c r="X4" s="4"/>
      <c r="Y4" s="4"/>
      <c r="Z4" s="4">
        <v>15</v>
      </c>
      <c r="AA4" s="4">
        <v>6.15</v>
      </c>
      <c r="AB4" s="4">
        <v>5.4</v>
      </c>
      <c r="AC4" s="4"/>
      <c r="AD4" s="4"/>
      <c r="AE4" s="4"/>
      <c r="AF4" s="4"/>
      <c r="AG4" s="4"/>
      <c r="AH4" s="4"/>
    </row>
    <row r="5" spans="1:34" x14ac:dyDescent="0.2">
      <c r="A5" s="7">
        <f>SUM(D4:AH4)</f>
        <v>187.15</v>
      </c>
      <c r="B5" s="8">
        <f>SUM(D5:AH5)</f>
        <v>310.5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>
        <v>310.5</v>
      </c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132.60000000000002</v>
      </c>
      <c r="C6" s="3" t="s">
        <v>2</v>
      </c>
      <c r="D6" s="4">
        <v>10.5</v>
      </c>
      <c r="E6" s="4"/>
      <c r="F6" s="4">
        <v>17.7</v>
      </c>
      <c r="G6" s="4"/>
      <c r="H6" s="4"/>
      <c r="I6" s="4">
        <v>23.4</v>
      </c>
      <c r="J6" s="4">
        <v>5.2</v>
      </c>
      <c r="K6" s="4">
        <v>13</v>
      </c>
      <c r="L6" s="4"/>
      <c r="M6" s="4"/>
      <c r="N6" s="4"/>
      <c r="O6" s="4"/>
      <c r="P6" s="4">
        <v>12</v>
      </c>
      <c r="Q6" s="4"/>
      <c r="R6" s="4"/>
      <c r="S6" s="4">
        <v>28.6</v>
      </c>
      <c r="T6" s="4"/>
      <c r="U6" s="4"/>
      <c r="V6" s="4"/>
      <c r="W6" s="4"/>
      <c r="X6" s="4">
        <v>11.2</v>
      </c>
      <c r="Y6" s="4"/>
      <c r="Z6" s="4"/>
      <c r="AA6" s="4">
        <v>11</v>
      </c>
      <c r="AB6" s="4"/>
      <c r="AC6" s="4"/>
      <c r="AD6" s="4"/>
      <c r="AE6" s="4"/>
      <c r="AF6" s="4"/>
      <c r="AG6" s="4"/>
      <c r="AH6" s="4"/>
    </row>
    <row r="7" spans="1:34" x14ac:dyDescent="0.2">
      <c r="A7" s="7">
        <f>SUM(D6:AH6)</f>
        <v>132.60000000000002</v>
      </c>
      <c r="B7" s="8">
        <f>SUM(D7:AH7)</f>
        <v>0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169.89999999999998</v>
      </c>
      <c r="C8" s="3" t="s">
        <v>2</v>
      </c>
      <c r="D8" s="4">
        <v>15.95</v>
      </c>
      <c r="E8" s="4"/>
      <c r="F8" s="4"/>
      <c r="G8" s="4"/>
      <c r="H8" s="4"/>
      <c r="I8" s="4"/>
      <c r="J8" s="4">
        <v>7.5</v>
      </c>
      <c r="K8" s="4">
        <v>13.6</v>
      </c>
      <c r="L8" s="4"/>
      <c r="M8" s="4"/>
      <c r="N8" s="4"/>
      <c r="O8" s="4"/>
      <c r="P8" s="4"/>
      <c r="Q8" s="4"/>
      <c r="R8" s="4">
        <v>33.4</v>
      </c>
      <c r="S8" s="4">
        <v>6.3</v>
      </c>
      <c r="T8" s="4"/>
      <c r="U8" s="4"/>
      <c r="V8" s="4"/>
      <c r="W8" s="4">
        <v>8</v>
      </c>
      <c r="X8" s="4"/>
      <c r="Y8" s="4"/>
      <c r="Z8" s="4"/>
      <c r="AA8" s="4">
        <v>14.7</v>
      </c>
      <c r="AB8" s="4"/>
      <c r="AC8" s="4">
        <v>24.2</v>
      </c>
      <c r="AD8" s="4">
        <v>7.2</v>
      </c>
      <c r="AE8" s="4">
        <v>11.6</v>
      </c>
      <c r="AF8" s="4"/>
      <c r="AG8" s="4"/>
      <c r="AH8" s="4">
        <v>27.45</v>
      </c>
    </row>
    <row r="9" spans="1:34" x14ac:dyDescent="0.2">
      <c r="A9" s="7">
        <f>SUM(D8:AH8)</f>
        <v>169.89999999999998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233.55</v>
      </c>
      <c r="C10" s="3" t="s">
        <v>2</v>
      </c>
      <c r="D10" s="4"/>
      <c r="E10" s="4"/>
      <c r="F10" s="4"/>
      <c r="G10" s="4"/>
      <c r="H10" s="4">
        <v>16.2</v>
      </c>
      <c r="I10" s="4">
        <v>41.7</v>
      </c>
      <c r="J10" s="4">
        <v>19.5</v>
      </c>
      <c r="K10" s="4"/>
      <c r="L10" s="4">
        <v>10</v>
      </c>
      <c r="M10" s="4">
        <v>13</v>
      </c>
      <c r="N10" s="4"/>
      <c r="O10" s="4">
        <v>18</v>
      </c>
      <c r="P10" s="4">
        <v>4.4000000000000004</v>
      </c>
      <c r="Q10" s="4">
        <v>5.85</v>
      </c>
      <c r="R10" s="4"/>
      <c r="S10" s="4"/>
      <c r="T10" s="4">
        <v>38.299999999999997</v>
      </c>
      <c r="U10" s="4">
        <v>27.6</v>
      </c>
      <c r="V10" s="4">
        <v>4.8</v>
      </c>
      <c r="W10" s="4"/>
      <c r="X10" s="4"/>
      <c r="Y10" s="4"/>
      <c r="Z10" s="4"/>
      <c r="AA10" s="4">
        <v>16.399999999999999</v>
      </c>
      <c r="AB10" s="4"/>
      <c r="AC10" s="4"/>
      <c r="AD10" s="4"/>
      <c r="AE10" s="4">
        <v>17.8</v>
      </c>
      <c r="AF10" s="4"/>
      <c r="AG10" s="4"/>
      <c r="AH10" s="4"/>
    </row>
    <row r="11" spans="1:34" x14ac:dyDescent="0.2">
      <c r="A11" s="7">
        <f>SUM(D10:AH10)</f>
        <v>233.55</v>
      </c>
      <c r="B11" s="8">
        <f>SUM(D11:AH11)</f>
        <v>0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243.70000000000002</v>
      </c>
      <c r="C12" s="3" t="s">
        <v>2</v>
      </c>
      <c r="D12" s="4"/>
      <c r="E12" s="4"/>
      <c r="F12" s="4">
        <v>8.8000000000000007</v>
      </c>
      <c r="G12" s="4"/>
      <c r="H12" s="4">
        <v>5.85</v>
      </c>
      <c r="I12" s="4"/>
      <c r="J12" s="4"/>
      <c r="K12" s="4">
        <v>5.5</v>
      </c>
      <c r="L12" s="4">
        <v>23</v>
      </c>
      <c r="M12" s="4">
        <v>21.2</v>
      </c>
      <c r="N12" s="4">
        <v>11.05</v>
      </c>
      <c r="O12" s="4">
        <v>68.7</v>
      </c>
      <c r="P12" s="4"/>
      <c r="Q12" s="4"/>
      <c r="R12" s="4">
        <v>6</v>
      </c>
      <c r="S12" s="4">
        <v>39.700000000000003</v>
      </c>
      <c r="T12" s="4"/>
      <c r="U12" s="4">
        <v>3.9</v>
      </c>
      <c r="V12" s="4">
        <v>11.9</v>
      </c>
      <c r="W12" s="4"/>
      <c r="X12" s="4"/>
      <c r="Y12" s="4"/>
      <c r="Z12" s="4"/>
      <c r="AA12" s="4">
        <v>8.5</v>
      </c>
      <c r="AB12" s="4">
        <v>17.600000000000001</v>
      </c>
      <c r="AC12" s="4"/>
      <c r="AD12" s="4"/>
      <c r="AE12" s="4"/>
      <c r="AF12" s="4">
        <v>12</v>
      </c>
      <c r="AG12" s="4"/>
      <c r="AH12" s="4"/>
    </row>
    <row r="13" spans="1:34" x14ac:dyDescent="0.2">
      <c r="A13" s="7">
        <f>SUM(D12:AH12)</f>
        <v>243.70000000000002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137.6</v>
      </c>
      <c r="C14" s="3" t="s">
        <v>2</v>
      </c>
      <c r="D14" s="4"/>
      <c r="E14" s="4"/>
      <c r="F14" s="4"/>
      <c r="G14" s="4"/>
      <c r="H14" s="4">
        <v>12.3</v>
      </c>
      <c r="I14" s="4">
        <v>7.95</v>
      </c>
      <c r="J14" s="4">
        <v>5.7</v>
      </c>
      <c r="K14" s="4">
        <v>15.6</v>
      </c>
      <c r="L14" s="4">
        <v>24.05</v>
      </c>
      <c r="M14" s="4"/>
      <c r="N14" s="4">
        <v>7</v>
      </c>
      <c r="O14" s="4">
        <v>17.5</v>
      </c>
      <c r="P14" s="4"/>
      <c r="Q14" s="4"/>
      <c r="R14" s="4">
        <v>13</v>
      </c>
      <c r="S14" s="4"/>
      <c r="T14" s="4"/>
      <c r="U14" s="4"/>
      <c r="V14" s="4"/>
      <c r="W14" s="4">
        <v>6</v>
      </c>
      <c r="X14" s="4">
        <v>5.8</v>
      </c>
      <c r="Y14" s="4"/>
      <c r="Z14" s="4"/>
      <c r="AA14" s="4"/>
      <c r="AB14" s="4"/>
      <c r="AC14" s="4"/>
      <c r="AD14" s="4">
        <v>10.1</v>
      </c>
      <c r="AE14" s="4">
        <v>6.6</v>
      </c>
      <c r="AF14" s="4">
        <v>6</v>
      </c>
      <c r="AG14" s="4"/>
      <c r="AH14" s="4"/>
    </row>
    <row r="15" spans="1:34" x14ac:dyDescent="0.2">
      <c r="A15" s="7">
        <f>SUM(D14:AH14)</f>
        <v>137.6</v>
      </c>
      <c r="B15" s="8">
        <f>SUM(D15:AH15)</f>
        <v>0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80.600000000000009</v>
      </c>
      <c r="C16" s="3" t="s">
        <v>2</v>
      </c>
      <c r="D16" s="4"/>
      <c r="E16" s="4"/>
      <c r="F16" s="4"/>
      <c r="G16" s="4">
        <v>27</v>
      </c>
      <c r="H16" s="4"/>
      <c r="I16" s="4"/>
      <c r="J16" s="4"/>
      <c r="K16" s="4">
        <v>12.5</v>
      </c>
      <c r="L16" s="4"/>
      <c r="M16" s="4"/>
      <c r="N16" s="4">
        <v>6.7</v>
      </c>
      <c r="O16" s="4"/>
      <c r="P16" s="4"/>
      <c r="Q16" s="4"/>
      <c r="R16" s="4"/>
      <c r="S16" s="4"/>
      <c r="T16" s="4">
        <v>6.6</v>
      </c>
      <c r="U16" s="4">
        <v>8.5</v>
      </c>
      <c r="V16" s="4"/>
      <c r="W16" s="4"/>
      <c r="X16" s="4"/>
      <c r="Y16" s="4"/>
      <c r="Z16" s="4"/>
      <c r="AA16" s="4">
        <v>5.8</v>
      </c>
      <c r="AB16" s="4"/>
      <c r="AC16" s="4"/>
      <c r="AD16" s="4"/>
      <c r="AE16" s="4"/>
      <c r="AF16" s="4"/>
      <c r="AG16" s="4"/>
      <c r="AH16" s="4">
        <v>13.5</v>
      </c>
    </row>
    <row r="17" spans="1:34" x14ac:dyDescent="0.2">
      <c r="A17" s="7">
        <f>SUM(D16:AH16)</f>
        <v>80.600000000000009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115.8</v>
      </c>
      <c r="C18" s="3" t="s">
        <v>2</v>
      </c>
      <c r="D18" s="4"/>
      <c r="E18" s="4"/>
      <c r="F18" s="4"/>
      <c r="G18" s="4">
        <v>33.799999999999997</v>
      </c>
      <c r="H18" s="4"/>
      <c r="I18" s="4"/>
      <c r="J18" s="4">
        <v>48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>
        <v>12</v>
      </c>
      <c r="AA18" s="4"/>
      <c r="AB18" s="4"/>
      <c r="AC18" s="4"/>
      <c r="AD18" s="4"/>
      <c r="AE18" s="4">
        <v>22</v>
      </c>
      <c r="AF18" s="4"/>
      <c r="AG18" s="4"/>
      <c r="AH18" s="4"/>
    </row>
    <row r="19" spans="1:34" x14ac:dyDescent="0.2">
      <c r="A19" s="7">
        <f>SUM(D18:AH18)</f>
        <v>115.8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-46.8</v>
      </c>
      <c r="C20" s="3" t="s">
        <v>2</v>
      </c>
      <c r="D20" s="4"/>
      <c r="E20" s="4"/>
      <c r="F20" s="4">
        <v>23.3</v>
      </c>
      <c r="G20" s="4">
        <v>35.200000000000003</v>
      </c>
      <c r="H20" s="20">
        <v>19.850000000000001</v>
      </c>
      <c r="I20" s="4"/>
      <c r="J20" s="4">
        <v>30.4</v>
      </c>
      <c r="K20" s="4"/>
      <c r="L20" s="4"/>
      <c r="M20" s="4"/>
      <c r="N20" s="4">
        <v>44</v>
      </c>
      <c r="O20" s="4">
        <v>9.6</v>
      </c>
      <c r="P20" s="4">
        <v>7.4</v>
      </c>
      <c r="Q20" s="4"/>
      <c r="R20" s="4"/>
      <c r="S20" s="4"/>
      <c r="T20" s="4"/>
      <c r="U20" s="4">
        <v>9</v>
      </c>
      <c r="V20" s="4">
        <v>35</v>
      </c>
      <c r="W20" s="4"/>
      <c r="X20" s="4">
        <v>21.8</v>
      </c>
      <c r="Y20" s="4">
        <v>38.6</v>
      </c>
      <c r="Z20" s="4"/>
      <c r="AA20" s="4"/>
      <c r="AB20" s="4">
        <v>4.8499999999999996</v>
      </c>
      <c r="AC20" s="4">
        <v>6</v>
      </c>
      <c r="AD20" s="4">
        <v>18.2</v>
      </c>
      <c r="AE20" s="4"/>
      <c r="AF20" s="4"/>
      <c r="AG20" s="4"/>
      <c r="AH20" s="4"/>
    </row>
    <row r="21" spans="1:34" x14ac:dyDescent="0.2">
      <c r="A21" s="7">
        <f>SUM(D20:AH20)</f>
        <v>303.20000000000005</v>
      </c>
      <c r="B21" s="8">
        <f>SUM(D21:AH21)</f>
        <v>350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>
        <v>350</v>
      </c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276.25</v>
      </c>
      <c r="C22" s="3" t="s">
        <v>2</v>
      </c>
      <c r="D22" s="4"/>
      <c r="E22" s="4">
        <v>3.4</v>
      </c>
      <c r="F22" s="4">
        <v>34.549999999999997</v>
      </c>
      <c r="G22" s="4">
        <v>25.5</v>
      </c>
      <c r="H22" s="4">
        <v>20.5</v>
      </c>
      <c r="I22" s="4"/>
      <c r="J22" s="4"/>
      <c r="K22" s="4"/>
      <c r="L22" s="4">
        <v>47.5</v>
      </c>
      <c r="M22" s="4">
        <v>20.100000000000001</v>
      </c>
      <c r="N22" s="4">
        <v>17.5</v>
      </c>
      <c r="O22" s="4"/>
      <c r="P22" s="4"/>
      <c r="Q22" s="4"/>
      <c r="R22" s="4"/>
      <c r="S22" s="4"/>
      <c r="T22" s="4">
        <v>6.5</v>
      </c>
      <c r="U22" s="4">
        <v>4</v>
      </c>
      <c r="V22" s="4">
        <v>6</v>
      </c>
      <c r="W22" s="4">
        <v>21.6</v>
      </c>
      <c r="X22" s="4"/>
      <c r="Y22" s="4"/>
      <c r="Z22" s="4">
        <v>5</v>
      </c>
      <c r="AA22" s="4">
        <v>21.8</v>
      </c>
      <c r="AB22" s="4"/>
      <c r="AC22" s="4"/>
      <c r="AD22" s="4"/>
      <c r="AE22" s="4"/>
      <c r="AF22" s="4"/>
      <c r="AG22" s="4"/>
      <c r="AH22" s="4">
        <v>42.3</v>
      </c>
    </row>
    <row r="23" spans="1:34" x14ac:dyDescent="0.2">
      <c r="A23" s="7">
        <f>SUM(D22:AH22)</f>
        <v>276.25</v>
      </c>
      <c r="B23" s="8">
        <f>SUM(D23:AH23)</f>
        <v>0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-39.90000000000002</v>
      </c>
      <c r="C24" s="3" t="s">
        <v>2</v>
      </c>
      <c r="D24" s="4"/>
      <c r="E24" s="4">
        <v>4.5</v>
      </c>
      <c r="F24" s="4">
        <v>8.6999999999999993</v>
      </c>
      <c r="G24" s="4"/>
      <c r="I24" s="4">
        <v>8.1</v>
      </c>
      <c r="J24" s="4">
        <v>40.6</v>
      </c>
      <c r="K24" s="4">
        <v>6</v>
      </c>
      <c r="L24" s="4">
        <v>21.1</v>
      </c>
      <c r="M24" s="4">
        <v>7.6</v>
      </c>
      <c r="N24" s="4"/>
      <c r="O24" s="4"/>
      <c r="P24" s="4"/>
      <c r="Q24" s="4">
        <v>6.2</v>
      </c>
      <c r="R24" s="4">
        <v>25</v>
      </c>
      <c r="S24" s="4"/>
      <c r="T24" s="4">
        <v>6.5</v>
      </c>
      <c r="U24" s="4"/>
      <c r="V24" s="4"/>
      <c r="W24" s="4">
        <v>6</v>
      </c>
      <c r="X24" s="4">
        <v>38.4</v>
      </c>
      <c r="Y24" s="4"/>
      <c r="Z24" s="4"/>
      <c r="AA24" s="4">
        <v>44.1</v>
      </c>
      <c r="AB24" s="4"/>
      <c r="AC24" s="4"/>
      <c r="AD24" s="4"/>
      <c r="AE24" s="4">
        <v>6.2</v>
      </c>
      <c r="AF24" s="4">
        <v>61.9</v>
      </c>
      <c r="AG24" s="4">
        <v>9.1999999999999993</v>
      </c>
      <c r="AH24" s="4"/>
    </row>
    <row r="25" spans="1:34" x14ac:dyDescent="0.2">
      <c r="A25" s="7">
        <f>SUM(D24:AH24)</f>
        <v>300.09999999999997</v>
      </c>
      <c r="B25" s="8">
        <f>SUM(D25:AH25)</f>
        <v>340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>
        <v>340</v>
      </c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156.6</v>
      </c>
      <c r="C26" s="3" t="s">
        <v>2</v>
      </c>
      <c r="D26" s="4"/>
      <c r="E26" s="4"/>
      <c r="F26" s="4"/>
      <c r="G26" s="4"/>
      <c r="H26" s="4">
        <v>6.8</v>
      </c>
      <c r="I26" s="4"/>
      <c r="J26" s="4">
        <v>6.4</v>
      </c>
      <c r="K26" s="4"/>
      <c r="L26" s="4"/>
      <c r="M26" s="4">
        <v>5</v>
      </c>
      <c r="N26" s="4">
        <v>4</v>
      </c>
      <c r="O26" s="4"/>
      <c r="P26" s="4">
        <v>25.1</v>
      </c>
      <c r="Q26" s="4">
        <v>5.7</v>
      </c>
      <c r="R26" s="4">
        <v>6.6</v>
      </c>
      <c r="S26" s="4"/>
      <c r="T26" s="4">
        <v>20.3</v>
      </c>
      <c r="U26" s="4">
        <v>8.1</v>
      </c>
      <c r="V26" s="4">
        <v>11.5</v>
      </c>
      <c r="W26" s="4">
        <v>6.8</v>
      </c>
      <c r="X26" s="4"/>
      <c r="Y26" s="4">
        <v>10</v>
      </c>
      <c r="Z26" s="4"/>
      <c r="AA26" s="4"/>
      <c r="AB26" s="4"/>
      <c r="AC26" s="4"/>
      <c r="AD26" s="4">
        <v>27.8</v>
      </c>
      <c r="AE26" s="4">
        <v>6.5</v>
      </c>
      <c r="AF26" s="4"/>
      <c r="AG26" s="4"/>
      <c r="AH26" s="4">
        <v>6</v>
      </c>
    </row>
    <row r="27" spans="1:34" x14ac:dyDescent="0.2">
      <c r="A27" s="7">
        <f>SUM(D26:AH26)</f>
        <v>156.6</v>
      </c>
      <c r="B27" s="8">
        <f>SUM(D27:AH27)</f>
        <v>0</v>
      </c>
      <c r="C27" s="9" t="s">
        <v>3</v>
      </c>
      <c r="D27" s="10"/>
      <c r="E27" s="10"/>
      <c r="F27" s="10"/>
      <c r="G27" s="10"/>
      <c r="H27" s="12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2337.0499999999997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1000.5</v>
      </c>
    </row>
    <row r="31" spans="1:34" x14ac:dyDescent="0.2">
      <c r="A31" s="1" t="s">
        <v>17</v>
      </c>
      <c r="B31" s="6">
        <f>B29-B30</f>
        <v>1336.5499999999997</v>
      </c>
    </row>
  </sheetData>
  <conditionalFormatting sqref="B31">
    <cfRule type="cellIs" dxfId="17" priority="1" stopIfTrue="1" operator="lessThanOrEqual">
      <formula>0</formula>
    </cfRule>
    <cfRule type="cellIs" dxfId="16" priority="2" stopIfTrue="1" operator="greaterThanOr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"/>
  <sheetViews>
    <sheetView topLeftCell="A13" workbookViewId="0">
      <selection activeCell="B10" sqref="B10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4" width="5.5703125" bestFit="1" customWidth="1"/>
    <col min="5" max="5" width="6.5703125" bestFit="1" customWidth="1"/>
    <col min="6" max="6" width="5.5703125" bestFit="1" customWidth="1"/>
    <col min="7" max="7" width="6.5703125" bestFit="1" customWidth="1"/>
    <col min="8" max="12" width="5.5703125" bestFit="1" customWidth="1"/>
    <col min="13" max="13" width="4.5703125" bestFit="1" customWidth="1"/>
    <col min="14" max="15" width="5.5703125" bestFit="1" customWidth="1"/>
    <col min="16" max="16" width="6.5703125" bestFit="1" customWidth="1"/>
    <col min="17" max="17" width="5.5703125" bestFit="1" customWidth="1"/>
    <col min="18" max="18" width="6.5703125" bestFit="1" customWidth="1"/>
    <col min="19" max="21" width="5.5703125" bestFit="1" customWidth="1"/>
    <col min="22" max="22" width="6.5703125" bestFit="1" customWidth="1"/>
    <col min="23" max="25" width="5.5703125" bestFit="1" customWidth="1"/>
    <col min="26" max="26" width="4.5703125" bestFit="1" customWidth="1"/>
    <col min="27" max="33" width="5.5703125" bestFit="1" customWidth="1"/>
    <col min="34" max="34" width="4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2019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130.89999999999998</v>
      </c>
      <c r="C4" s="3" t="s">
        <v>2</v>
      </c>
      <c r="D4" s="4"/>
      <c r="E4" s="4">
        <v>13</v>
      </c>
      <c r="F4" s="4"/>
      <c r="G4" s="4"/>
      <c r="H4" s="4"/>
      <c r="I4" s="4"/>
      <c r="J4" s="4">
        <v>37.75</v>
      </c>
      <c r="K4" s="4">
        <v>15.6</v>
      </c>
      <c r="L4" s="4"/>
      <c r="M4" s="4">
        <v>6</v>
      </c>
      <c r="N4" s="4">
        <v>4.1500000000000004</v>
      </c>
      <c r="O4" s="4"/>
      <c r="P4" s="4"/>
      <c r="Q4" s="4"/>
      <c r="R4" s="4">
        <v>13</v>
      </c>
      <c r="S4" s="4"/>
      <c r="T4" s="20">
        <v>13</v>
      </c>
      <c r="U4" s="4"/>
      <c r="V4" s="4"/>
      <c r="W4" s="4"/>
      <c r="X4" s="4">
        <v>5</v>
      </c>
      <c r="Y4" s="4"/>
      <c r="Z4" s="4"/>
      <c r="AA4" s="4">
        <v>7.8</v>
      </c>
      <c r="AB4" s="4">
        <v>9.6</v>
      </c>
      <c r="AC4" s="4"/>
      <c r="AD4" s="4"/>
      <c r="AE4" s="4"/>
      <c r="AF4" s="4"/>
      <c r="AG4" s="4"/>
      <c r="AH4" s="4">
        <v>6</v>
      </c>
    </row>
    <row r="5" spans="1:34" x14ac:dyDescent="0.2">
      <c r="A5" s="7">
        <f>SUM(D4:AH4)</f>
        <v>130.89999999999998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331.6</v>
      </c>
      <c r="C6" s="3" t="s">
        <v>2</v>
      </c>
      <c r="D6" s="4"/>
      <c r="E6" s="4"/>
      <c r="F6" s="4"/>
      <c r="G6" s="4"/>
      <c r="H6" s="4">
        <v>11</v>
      </c>
      <c r="I6" s="4"/>
      <c r="J6" s="4">
        <v>6.4</v>
      </c>
      <c r="K6" s="4">
        <v>5.9</v>
      </c>
      <c r="L6" s="4"/>
      <c r="M6" s="4"/>
      <c r="N6" s="4"/>
      <c r="O6" s="4">
        <v>10.199999999999999</v>
      </c>
      <c r="P6" s="4"/>
      <c r="Q6" s="4"/>
      <c r="R6" s="4">
        <v>9.6</v>
      </c>
      <c r="S6" s="4"/>
      <c r="T6" s="4"/>
      <c r="U6" s="4"/>
      <c r="V6" s="4">
        <v>116.4</v>
      </c>
      <c r="W6" s="4">
        <v>7.8</v>
      </c>
      <c r="X6" s="4">
        <v>26</v>
      </c>
      <c r="Y6" s="4">
        <v>20.399999999999999</v>
      </c>
      <c r="Z6" s="4"/>
      <c r="AA6" s="4"/>
      <c r="AB6" s="4"/>
      <c r="AC6" s="4">
        <v>60.9</v>
      </c>
      <c r="AD6" s="4">
        <v>57</v>
      </c>
      <c r="AE6" s="4"/>
      <c r="AF6" s="4"/>
      <c r="AG6" s="4"/>
      <c r="AH6" s="4"/>
    </row>
    <row r="7" spans="1:34" x14ac:dyDescent="0.2">
      <c r="A7" s="7">
        <f>SUM(D6:AH6)</f>
        <v>331.6</v>
      </c>
      <c r="B7" s="8">
        <f>SUM(D7:AH7)</f>
        <v>0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-106.17000000000002</v>
      </c>
      <c r="C8" s="3" t="s">
        <v>2</v>
      </c>
      <c r="D8" s="4"/>
      <c r="E8" s="4"/>
      <c r="F8" s="4"/>
      <c r="G8" s="4"/>
      <c r="H8" s="4">
        <v>74.8</v>
      </c>
      <c r="I8" s="4">
        <v>6</v>
      </c>
      <c r="J8" s="4"/>
      <c r="K8" s="4"/>
      <c r="L8" s="4"/>
      <c r="M8" s="4"/>
      <c r="O8" s="4">
        <v>59</v>
      </c>
      <c r="P8" s="4">
        <v>12.7</v>
      </c>
      <c r="Q8" s="4">
        <v>29.4</v>
      </c>
      <c r="R8" s="4">
        <v>14</v>
      </c>
      <c r="S8" s="4">
        <v>14</v>
      </c>
      <c r="T8" s="4"/>
      <c r="U8" s="4"/>
      <c r="V8" s="4"/>
      <c r="W8" s="4"/>
      <c r="X8" s="4">
        <v>8</v>
      </c>
      <c r="Y8" s="4"/>
      <c r="Z8" s="4">
        <v>8</v>
      </c>
      <c r="AA8" s="4"/>
      <c r="AB8" s="4"/>
      <c r="AC8" s="4"/>
      <c r="AD8" s="4">
        <v>6.5</v>
      </c>
      <c r="AE8" s="4">
        <v>9.1</v>
      </c>
      <c r="AF8" s="4"/>
      <c r="AG8" s="4">
        <v>6</v>
      </c>
      <c r="AH8" s="4"/>
    </row>
    <row r="9" spans="1:34" x14ac:dyDescent="0.2">
      <c r="A9" s="7">
        <f>SUM(D8:AH8)</f>
        <v>247.5</v>
      </c>
      <c r="B9" s="8">
        <f>SUM(D9:AH9)</f>
        <v>353.67</v>
      </c>
      <c r="C9" s="9" t="s">
        <v>3</v>
      </c>
      <c r="D9" s="10"/>
      <c r="E9" s="10"/>
      <c r="F9" s="10"/>
      <c r="G9" s="10">
        <v>353.67</v>
      </c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162.20000000000002</v>
      </c>
      <c r="C10" s="3" t="s">
        <v>2</v>
      </c>
      <c r="D10" s="4"/>
      <c r="E10" s="4">
        <v>9.9</v>
      </c>
      <c r="F10" s="4">
        <v>23.6</v>
      </c>
      <c r="G10" s="4"/>
      <c r="H10" s="4">
        <v>6.9</v>
      </c>
      <c r="I10" s="4">
        <v>6</v>
      </c>
      <c r="J10" s="4"/>
      <c r="K10" s="4"/>
      <c r="L10" s="4">
        <v>29</v>
      </c>
      <c r="M10" s="4"/>
      <c r="N10" s="4">
        <v>18</v>
      </c>
      <c r="O10" s="4"/>
      <c r="P10" s="4">
        <v>6</v>
      </c>
      <c r="Q10" s="4"/>
      <c r="R10" s="4"/>
      <c r="S10" s="4"/>
      <c r="T10" s="4">
        <v>15.4</v>
      </c>
      <c r="U10" s="4">
        <v>6</v>
      </c>
      <c r="V10" s="4">
        <v>5.7</v>
      </c>
      <c r="W10" s="4"/>
      <c r="X10" s="4"/>
      <c r="Y10" s="4"/>
      <c r="Z10" s="4"/>
      <c r="AA10" s="4"/>
      <c r="AB10" s="4"/>
      <c r="AC10" s="4">
        <v>25.7</v>
      </c>
      <c r="AD10" s="4"/>
      <c r="AE10" s="4"/>
      <c r="AF10" s="4"/>
      <c r="AG10" s="4">
        <v>10</v>
      </c>
      <c r="AH10" s="4"/>
    </row>
    <row r="11" spans="1:34" x14ac:dyDescent="0.2">
      <c r="A11" s="7">
        <f>SUM(D10:AH10)</f>
        <v>162.20000000000002</v>
      </c>
      <c r="B11" s="8">
        <f>SUM(D11:AH11)</f>
        <v>0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-167.52000000000004</v>
      </c>
      <c r="C12" s="3" t="s">
        <v>2</v>
      </c>
      <c r="D12" s="4"/>
      <c r="E12" s="4">
        <v>18</v>
      </c>
      <c r="F12" s="4"/>
      <c r="G12" s="4">
        <v>10</v>
      </c>
      <c r="H12" s="4"/>
      <c r="I12" s="4"/>
      <c r="J12" s="4">
        <v>44.2</v>
      </c>
      <c r="K12" s="4">
        <v>20.399999999999999</v>
      </c>
      <c r="L12" s="4">
        <v>12.2</v>
      </c>
      <c r="M12" s="4"/>
      <c r="N12" s="4">
        <v>6.5</v>
      </c>
      <c r="O12" s="4"/>
      <c r="P12" s="4"/>
      <c r="Q12" s="4">
        <v>9.9</v>
      </c>
      <c r="R12" s="4">
        <v>6.7</v>
      </c>
      <c r="S12" s="4">
        <v>33</v>
      </c>
      <c r="T12" s="4"/>
      <c r="U12" s="4">
        <v>16.2</v>
      </c>
      <c r="V12" s="4"/>
      <c r="W12" s="4"/>
      <c r="X12" s="4">
        <v>7</v>
      </c>
      <c r="Y12" s="4"/>
      <c r="Z12" s="4">
        <v>8.6</v>
      </c>
      <c r="AA12" s="4">
        <v>4</v>
      </c>
      <c r="AB12" s="4"/>
      <c r="AC12" s="4"/>
      <c r="AD12" s="4"/>
      <c r="AE12" s="4">
        <v>12.4</v>
      </c>
      <c r="AF12" s="4">
        <v>8</v>
      </c>
      <c r="AG12" s="4"/>
      <c r="AH12" s="4"/>
    </row>
    <row r="13" spans="1:34" x14ac:dyDescent="0.2">
      <c r="A13" s="7">
        <f>SUM(D12:AH12)</f>
        <v>217.1</v>
      </c>
      <c r="B13" s="8">
        <f>SUM(D13:AH13)</f>
        <v>384.62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>
        <v>384.62</v>
      </c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154.29999999999998</v>
      </c>
      <c r="C14" s="3" t="s">
        <v>2</v>
      </c>
      <c r="D14" s="4">
        <v>7.2</v>
      </c>
      <c r="E14" s="4"/>
      <c r="F14" s="4"/>
      <c r="G14" s="4">
        <v>9.1999999999999993</v>
      </c>
      <c r="H14" s="4"/>
      <c r="I14" s="4"/>
      <c r="J14" s="4">
        <v>6.5</v>
      </c>
      <c r="K14" s="4">
        <v>6</v>
      </c>
      <c r="L14" s="4"/>
      <c r="M14" s="4"/>
      <c r="N14" s="4">
        <v>28</v>
      </c>
      <c r="O14" s="4"/>
      <c r="P14" s="4"/>
      <c r="Q14" s="4"/>
      <c r="R14" s="4">
        <v>6</v>
      </c>
      <c r="S14" s="4"/>
      <c r="T14" s="4">
        <v>9.1</v>
      </c>
      <c r="U14" s="4"/>
      <c r="V14" s="4">
        <v>20</v>
      </c>
      <c r="W14" s="4">
        <v>16.399999999999999</v>
      </c>
      <c r="X14" s="4"/>
      <c r="Y14" s="4"/>
      <c r="Z14" s="4"/>
      <c r="AA14" s="4"/>
      <c r="AB14" s="4"/>
      <c r="AC14" s="4">
        <v>6.5</v>
      </c>
      <c r="AD14" s="4">
        <v>24.2</v>
      </c>
      <c r="AE14" s="4"/>
      <c r="AF14" s="4">
        <v>15.2</v>
      </c>
      <c r="AG14" s="4"/>
      <c r="AH14" s="4"/>
    </row>
    <row r="15" spans="1:34" x14ac:dyDescent="0.2">
      <c r="A15" s="7">
        <f>SUM(D14:AH14)</f>
        <v>154.29999999999998</v>
      </c>
      <c r="B15" s="8">
        <f>SUM(D15:AH15)</f>
        <v>0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90.600000000000009</v>
      </c>
      <c r="C16" s="3" t="s">
        <v>2</v>
      </c>
      <c r="D16" s="4"/>
      <c r="E16" s="4"/>
      <c r="F16" s="4">
        <v>8.5</v>
      </c>
      <c r="G16" s="4"/>
      <c r="H16" s="4"/>
      <c r="I16" s="4">
        <v>6.5</v>
      </c>
      <c r="J16" s="4"/>
      <c r="K16" s="4"/>
      <c r="L16" s="4"/>
      <c r="M16" s="4"/>
      <c r="N16" s="4">
        <v>8</v>
      </c>
      <c r="O16" s="4"/>
      <c r="P16" s="4"/>
      <c r="Q16" s="4"/>
      <c r="R16" s="4">
        <v>12.4</v>
      </c>
      <c r="S16" s="4"/>
      <c r="T16" s="4"/>
      <c r="U16" s="4">
        <v>6</v>
      </c>
      <c r="V16" s="4">
        <v>12.5</v>
      </c>
      <c r="W16" s="4"/>
      <c r="X16" s="4"/>
      <c r="Y16" s="4"/>
      <c r="Z16" s="4"/>
      <c r="AA16" s="4">
        <v>6.5</v>
      </c>
      <c r="AB16" s="4">
        <v>25</v>
      </c>
      <c r="AC16" s="4">
        <v>5.2</v>
      </c>
      <c r="AD16" s="4"/>
      <c r="AE16" s="4"/>
      <c r="AF16" s="4"/>
      <c r="AG16" s="4"/>
      <c r="AH16" s="4"/>
    </row>
    <row r="17" spans="1:34" x14ac:dyDescent="0.2">
      <c r="A17" s="7">
        <f>SUM(D16:AH16)</f>
        <v>90.600000000000009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18</v>
      </c>
      <c r="C18" s="3" t="s">
        <v>2</v>
      </c>
      <c r="D18" s="4">
        <v>18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18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158.9</v>
      </c>
      <c r="C20" s="3" t="s">
        <v>2</v>
      </c>
      <c r="D20" s="4"/>
      <c r="E20" s="4"/>
      <c r="F20" s="4"/>
      <c r="G20" s="4">
        <v>8.1999999999999993</v>
      </c>
      <c r="H20" s="20"/>
      <c r="I20" s="4">
        <v>7.8</v>
      </c>
      <c r="J20" s="4"/>
      <c r="K20" s="4"/>
      <c r="L20" s="4">
        <v>27.1</v>
      </c>
      <c r="M20" s="4"/>
      <c r="N20" s="4"/>
      <c r="O20" s="4"/>
      <c r="P20" s="4">
        <v>4.8</v>
      </c>
      <c r="Q20" s="4">
        <v>8</v>
      </c>
      <c r="R20" s="4"/>
      <c r="S20" s="4"/>
      <c r="T20" s="4"/>
      <c r="U20" s="4">
        <v>10</v>
      </c>
      <c r="V20" s="4"/>
      <c r="W20" s="4">
        <v>4</v>
      </c>
      <c r="X20" s="4">
        <v>6.3</v>
      </c>
      <c r="Y20" s="4"/>
      <c r="Z20" s="4"/>
      <c r="AA20" s="4">
        <v>22.8</v>
      </c>
      <c r="AB20" s="4">
        <v>11.2</v>
      </c>
      <c r="AC20" s="4">
        <v>28.4</v>
      </c>
      <c r="AD20" s="4">
        <v>4.3</v>
      </c>
      <c r="AE20" s="4">
        <v>4</v>
      </c>
      <c r="AF20" s="4"/>
      <c r="AG20" s="4">
        <v>12</v>
      </c>
      <c r="AH20" s="4"/>
    </row>
    <row r="21" spans="1:34" x14ac:dyDescent="0.2">
      <c r="A21" s="7">
        <f>SUM(D20:AH20)</f>
        <v>158.9</v>
      </c>
      <c r="B21" s="8">
        <f>SUM(D21:AH21)</f>
        <v>0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224.39999999999998</v>
      </c>
      <c r="C22" s="3" t="s">
        <v>2</v>
      </c>
      <c r="D22" s="4">
        <v>6</v>
      </c>
      <c r="E22" s="4"/>
      <c r="F22" s="4">
        <v>4.8</v>
      </c>
      <c r="G22" s="4">
        <v>41.6</v>
      </c>
      <c r="H22" s="4">
        <v>6.5</v>
      </c>
      <c r="I22" s="4"/>
      <c r="J22" s="4"/>
      <c r="K22" s="4">
        <v>9.3000000000000007</v>
      </c>
      <c r="L22" s="4">
        <v>9.8000000000000007</v>
      </c>
      <c r="M22" s="4"/>
      <c r="N22" s="4">
        <v>4</v>
      </c>
      <c r="O22" s="4">
        <v>27.1</v>
      </c>
      <c r="P22" s="4"/>
      <c r="Q22" s="4">
        <v>4.8</v>
      </c>
      <c r="R22" s="4"/>
      <c r="S22" s="4">
        <v>49.3</v>
      </c>
      <c r="T22" s="4">
        <v>4</v>
      </c>
      <c r="U22" s="4">
        <v>43.2</v>
      </c>
      <c r="V22" s="4"/>
      <c r="W22" s="4"/>
      <c r="X22" s="4">
        <v>10</v>
      </c>
      <c r="Y22" s="4">
        <v>4</v>
      </c>
      <c r="Z22" s="4"/>
      <c r="AA22" s="4"/>
      <c r="AB22" s="4"/>
      <c r="AC22" s="4"/>
      <c r="AD22" s="4"/>
      <c r="AE22" s="4"/>
      <c r="AF22" s="4"/>
      <c r="AG22" s="4"/>
      <c r="AH22" s="4"/>
    </row>
    <row r="23" spans="1:34" x14ac:dyDescent="0.2">
      <c r="A23" s="7">
        <f>SUM(D22:AH22)</f>
        <v>224.39999999999998</v>
      </c>
      <c r="B23" s="8">
        <f>SUM(D23:AH23)</f>
        <v>0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234.95</v>
      </c>
      <c r="C24" s="3" t="s">
        <v>2</v>
      </c>
      <c r="D24" s="4"/>
      <c r="E24" s="4"/>
      <c r="F24" s="4"/>
      <c r="G24" s="4"/>
      <c r="H24" s="20">
        <v>8</v>
      </c>
      <c r="I24" s="4">
        <v>6</v>
      </c>
      <c r="J24" s="4"/>
      <c r="K24" s="4"/>
      <c r="L24" s="4">
        <v>12</v>
      </c>
      <c r="M24" s="4"/>
      <c r="N24" s="4"/>
      <c r="O24" s="4">
        <v>8.1</v>
      </c>
      <c r="P24" s="4"/>
      <c r="Q24" s="4"/>
      <c r="R24" s="4">
        <v>21</v>
      </c>
      <c r="S24" s="4"/>
      <c r="T24" s="4"/>
      <c r="U24" s="4"/>
      <c r="V24" s="4">
        <v>58.5</v>
      </c>
      <c r="W24" s="4"/>
      <c r="X24" s="4">
        <v>7</v>
      </c>
      <c r="Y24" s="4"/>
      <c r="Z24" s="4"/>
      <c r="AA24" s="4"/>
      <c r="AB24" s="4">
        <v>25.8</v>
      </c>
      <c r="AC24" s="4">
        <v>28.1</v>
      </c>
      <c r="AD24" s="4">
        <v>4</v>
      </c>
      <c r="AE24" s="4"/>
      <c r="AF24" s="4">
        <v>41.95</v>
      </c>
      <c r="AG24" s="4">
        <v>14.5</v>
      </c>
      <c r="AH24" s="4"/>
    </row>
    <row r="25" spans="1:34" x14ac:dyDescent="0.2">
      <c r="A25" s="7">
        <f>SUM(D24:AH24)</f>
        <v>234.95</v>
      </c>
      <c r="B25" s="8">
        <f>SUM(D25:AH25)</f>
        <v>0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-183.72</v>
      </c>
      <c r="C26" s="3" t="s">
        <v>2</v>
      </c>
      <c r="D26" s="4"/>
      <c r="E26" s="4">
        <v>8.6</v>
      </c>
      <c r="F26" s="4">
        <v>4.1500000000000004</v>
      </c>
      <c r="G26" s="4">
        <v>14.5</v>
      </c>
      <c r="H26" s="4"/>
      <c r="I26" s="4">
        <v>50</v>
      </c>
      <c r="J26" s="4">
        <v>12</v>
      </c>
      <c r="K26" s="4"/>
      <c r="L26" s="4"/>
      <c r="M26" s="4">
        <v>5.7</v>
      </c>
      <c r="N26" s="4"/>
      <c r="O26" s="4"/>
      <c r="P26" s="4"/>
      <c r="Q26" s="4"/>
      <c r="R26" s="4"/>
      <c r="S26" s="4"/>
      <c r="T26" s="4">
        <v>14.5</v>
      </c>
      <c r="U26" s="4">
        <v>7.5</v>
      </c>
      <c r="V26" s="4">
        <v>6</v>
      </c>
      <c r="W26" s="4">
        <v>18</v>
      </c>
      <c r="X26" s="4">
        <v>11.6</v>
      </c>
      <c r="Y26" s="4"/>
      <c r="Z26" s="4"/>
      <c r="AA26" s="4">
        <v>17</v>
      </c>
      <c r="AB26" s="4"/>
      <c r="AC26" s="4"/>
      <c r="AD26" s="4">
        <v>9.8000000000000007</v>
      </c>
      <c r="AE26" s="4"/>
      <c r="AF26" s="4"/>
      <c r="AG26" s="4"/>
      <c r="AH26" s="4"/>
    </row>
    <row r="27" spans="1:34" x14ac:dyDescent="0.2">
      <c r="A27" s="7">
        <f>SUM(D26:AH26)</f>
        <v>179.35</v>
      </c>
      <c r="B27" s="8">
        <f>SUM(D27:AH27)</f>
        <v>363.07</v>
      </c>
      <c r="C27" s="9" t="s">
        <v>3</v>
      </c>
      <c r="D27" s="10"/>
      <c r="E27" s="10">
        <v>363.07</v>
      </c>
      <c r="F27" s="10"/>
      <c r="G27" s="10"/>
      <c r="H27" s="12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2149.8000000000002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1101.3600000000001</v>
      </c>
    </row>
    <row r="31" spans="1:34" x14ac:dyDescent="0.2">
      <c r="A31" s="1" t="s">
        <v>17</v>
      </c>
      <c r="B31" s="6">
        <f>B29-B30</f>
        <v>1048.44</v>
      </c>
    </row>
  </sheetData>
  <conditionalFormatting sqref="B31">
    <cfRule type="cellIs" dxfId="15" priority="1" stopIfTrue="1" operator="lessThanOrEqual">
      <formula>0</formula>
    </cfRule>
    <cfRule type="cellIs" dxfId="14" priority="2" stopIfTrue="1" operator="greater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2"/>
  <sheetViews>
    <sheetView topLeftCell="A13" workbookViewId="0">
      <selection activeCell="B10" sqref="B10"/>
    </sheetView>
  </sheetViews>
  <sheetFormatPr defaultRowHeight="12.75" x14ac:dyDescent="0.2"/>
  <cols>
    <col min="1" max="1" width="10.85546875" bestFit="1" customWidth="1"/>
    <col min="2" max="2" width="8.140625" bestFit="1" customWidth="1"/>
    <col min="3" max="3" width="2.140625" bestFit="1" customWidth="1"/>
    <col min="4" max="5" width="6.5703125" bestFit="1" customWidth="1"/>
    <col min="6" max="13" width="5.5703125" bestFit="1" customWidth="1"/>
    <col min="14" max="14" width="4.5703125" bestFit="1" customWidth="1"/>
    <col min="15" max="21" width="5.5703125" bestFit="1" customWidth="1"/>
    <col min="22" max="22" width="6.5703125" bestFit="1" customWidth="1"/>
    <col min="23" max="25" width="5.5703125" bestFit="1" customWidth="1"/>
    <col min="26" max="26" width="6.5703125" bestFit="1" customWidth="1"/>
    <col min="27" max="34" width="5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2020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259.89999999999998</v>
      </c>
      <c r="C4" s="3" t="s">
        <v>2</v>
      </c>
      <c r="D4" s="4"/>
      <c r="E4" s="4"/>
      <c r="F4" s="4"/>
      <c r="G4" s="4"/>
      <c r="H4" s="4"/>
      <c r="I4" s="4"/>
      <c r="J4" s="4">
        <v>27.6</v>
      </c>
      <c r="K4" s="4">
        <v>8.6</v>
      </c>
      <c r="L4" s="4"/>
      <c r="M4" s="4">
        <v>22.3</v>
      </c>
      <c r="N4" s="4"/>
      <c r="O4" s="4"/>
      <c r="P4" s="4"/>
      <c r="Q4" s="4">
        <v>27.7</v>
      </c>
      <c r="R4" s="4">
        <v>13.2</v>
      </c>
      <c r="S4" s="4"/>
      <c r="T4" s="20">
        <v>11.3</v>
      </c>
      <c r="U4" s="4">
        <v>58</v>
      </c>
      <c r="V4" s="4"/>
      <c r="W4" s="4"/>
      <c r="X4" s="4">
        <v>13.2</v>
      </c>
      <c r="Y4" s="4"/>
      <c r="Z4" s="4">
        <v>13.2</v>
      </c>
      <c r="AA4" s="4">
        <v>33.6</v>
      </c>
      <c r="AB4" s="4">
        <v>10.9</v>
      </c>
      <c r="AC4" s="4"/>
      <c r="AD4" s="4"/>
      <c r="AE4" s="4">
        <v>8</v>
      </c>
      <c r="AF4" s="4">
        <v>5.6</v>
      </c>
      <c r="AG4" s="4"/>
      <c r="AH4" s="4">
        <v>6.7</v>
      </c>
    </row>
    <row r="5" spans="1:34" x14ac:dyDescent="0.2">
      <c r="A5" s="7">
        <f>SUM(D4:AH4)</f>
        <v>259.89999999999998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150.60000000000002</v>
      </c>
      <c r="C6" s="3" t="s">
        <v>2</v>
      </c>
      <c r="D6" s="4"/>
      <c r="E6" s="4"/>
      <c r="F6" s="4">
        <v>8</v>
      </c>
      <c r="G6" s="4">
        <v>5.3</v>
      </c>
      <c r="H6" s="4"/>
      <c r="I6" s="4">
        <v>5.3</v>
      </c>
      <c r="J6" s="4">
        <v>14.2</v>
      </c>
      <c r="K6" s="4"/>
      <c r="L6" s="4"/>
      <c r="M6" s="4"/>
      <c r="O6" s="4">
        <v>6.8</v>
      </c>
      <c r="P6" s="4">
        <v>15.6</v>
      </c>
      <c r="Q6" s="4"/>
      <c r="R6" s="4">
        <v>5.4</v>
      </c>
      <c r="S6" s="4"/>
      <c r="T6" s="4"/>
      <c r="U6" s="4">
        <v>4.9000000000000004</v>
      </c>
      <c r="V6" s="4"/>
      <c r="W6" s="4">
        <v>8.4</v>
      </c>
      <c r="X6" s="4">
        <v>6.2</v>
      </c>
      <c r="Y6" s="4">
        <v>32.700000000000003</v>
      </c>
      <c r="Z6" s="4"/>
      <c r="AA6" s="4"/>
      <c r="AB6" s="4">
        <v>4.8</v>
      </c>
      <c r="AC6" s="4"/>
      <c r="AD6" s="4">
        <v>11.6</v>
      </c>
      <c r="AE6" s="4">
        <v>21.4</v>
      </c>
      <c r="AF6" s="4"/>
      <c r="AG6" s="4"/>
      <c r="AH6" s="4"/>
    </row>
    <row r="7" spans="1:34" x14ac:dyDescent="0.2">
      <c r="A7" s="7">
        <f>SUM(D6:AH6)</f>
        <v>150.60000000000002</v>
      </c>
      <c r="B7" s="8">
        <f>SUM(D7:AH7)</f>
        <v>0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41.2</v>
      </c>
      <c r="C8" s="3" t="s">
        <v>2</v>
      </c>
      <c r="D8" s="4"/>
      <c r="E8" s="4"/>
      <c r="F8" s="4"/>
      <c r="G8" s="4">
        <v>4.5</v>
      </c>
      <c r="H8" s="4"/>
      <c r="I8" s="4">
        <v>36.700000000000003</v>
      </c>
      <c r="J8" s="4"/>
      <c r="K8" s="4"/>
      <c r="L8" s="4"/>
      <c r="M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</row>
    <row r="9" spans="1:34" x14ac:dyDescent="0.2">
      <c r="A9" s="7">
        <f>SUM(D8:AH8)</f>
        <v>41.2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0</v>
      </c>
      <c r="C10" s="3" t="s">
        <v>2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</row>
    <row r="11" spans="1:34" x14ac:dyDescent="0.2">
      <c r="A11" s="7">
        <f>SUM(D10:AH10)</f>
        <v>0</v>
      </c>
      <c r="B11" s="8">
        <f>SUM(D11:AH11)</f>
        <v>0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294.8</v>
      </c>
      <c r="C12" s="3" t="s">
        <v>2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>
        <v>64.099999999999994</v>
      </c>
      <c r="W12" s="4">
        <v>53.2</v>
      </c>
      <c r="X12" s="4">
        <v>15.45</v>
      </c>
      <c r="Y12" s="4">
        <v>5.0999999999999996</v>
      </c>
      <c r="Z12" s="4">
        <v>6</v>
      </c>
      <c r="AA12" s="4"/>
      <c r="AB12" s="4">
        <v>9.6</v>
      </c>
      <c r="AC12" s="4">
        <v>36.25</v>
      </c>
      <c r="AD12" s="4">
        <v>5.5</v>
      </c>
      <c r="AE12" s="4">
        <v>15</v>
      </c>
      <c r="AF12" s="4">
        <v>54.6</v>
      </c>
      <c r="AG12" s="4">
        <v>30</v>
      </c>
      <c r="AH12" s="4"/>
    </row>
    <row r="13" spans="1:34" x14ac:dyDescent="0.2">
      <c r="A13" s="7">
        <f>SUM(D12:AH12)</f>
        <v>294.8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-110.31999999999996</v>
      </c>
      <c r="C14" s="3" t="s">
        <v>2</v>
      </c>
      <c r="D14" s="4">
        <v>8</v>
      </c>
      <c r="E14" s="4"/>
      <c r="F14" s="4"/>
      <c r="G14" s="4"/>
      <c r="H14" s="4">
        <v>6.25</v>
      </c>
      <c r="I14" s="4">
        <v>25.3</v>
      </c>
      <c r="J14" s="4"/>
      <c r="K14" s="4">
        <v>5</v>
      </c>
      <c r="L14" s="4">
        <v>35</v>
      </c>
      <c r="M14" s="4">
        <v>9.85</v>
      </c>
      <c r="N14" s="4"/>
      <c r="O14" s="4">
        <v>10</v>
      </c>
      <c r="P14" s="4"/>
      <c r="Q14" s="4"/>
      <c r="R14" s="4"/>
      <c r="S14" s="4"/>
      <c r="T14" s="4">
        <v>8</v>
      </c>
      <c r="U14" s="4">
        <v>59</v>
      </c>
      <c r="V14" s="4">
        <v>6.5</v>
      </c>
      <c r="W14" s="4">
        <v>23</v>
      </c>
      <c r="X14" s="4"/>
      <c r="Y14" s="4"/>
      <c r="Z14" s="4"/>
      <c r="AA14" s="4"/>
      <c r="AB14" s="4">
        <v>27.7</v>
      </c>
      <c r="AC14" s="4">
        <v>6.25</v>
      </c>
      <c r="AD14" s="4">
        <v>2.2999999999999998</v>
      </c>
      <c r="AE14" s="4"/>
      <c r="AF14" s="4">
        <v>10</v>
      </c>
      <c r="AG14" s="4">
        <v>16.899999999999999</v>
      </c>
      <c r="AH14" s="4"/>
    </row>
    <row r="15" spans="1:34" x14ac:dyDescent="0.2">
      <c r="A15" s="7">
        <f>SUM(D14:AH14)</f>
        <v>259.04999999999995</v>
      </c>
      <c r="B15" s="8">
        <f>SUM(D15:AH15)</f>
        <v>369.37</v>
      </c>
      <c r="C15" s="9" t="s">
        <v>3</v>
      </c>
      <c r="D15" s="10">
        <v>369.37</v>
      </c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-66.599999999999966</v>
      </c>
      <c r="C16" s="3" t="s">
        <v>2</v>
      </c>
      <c r="D16" s="4">
        <v>6.6</v>
      </c>
      <c r="E16" s="4">
        <v>4.2</v>
      </c>
      <c r="F16" s="4">
        <v>42.8</v>
      </c>
      <c r="G16" s="4">
        <v>4.5999999999999996</v>
      </c>
      <c r="H16" s="4"/>
      <c r="I16" s="4"/>
      <c r="J16" s="4"/>
      <c r="K16" s="4">
        <v>18.11</v>
      </c>
      <c r="L16" s="4"/>
      <c r="M16" s="4">
        <v>5.8</v>
      </c>
      <c r="N16" s="4"/>
      <c r="O16" s="4"/>
      <c r="P16" s="4">
        <v>18.7</v>
      </c>
      <c r="Q16" s="4">
        <v>44.5</v>
      </c>
      <c r="R16" s="4">
        <v>38</v>
      </c>
      <c r="T16" s="4">
        <v>11.4</v>
      </c>
      <c r="U16" s="4">
        <v>15</v>
      </c>
      <c r="V16" s="4"/>
      <c r="W16" s="4">
        <v>12.7</v>
      </c>
      <c r="X16" s="4">
        <v>3.5</v>
      </c>
      <c r="Y16" s="4">
        <v>26.3</v>
      </c>
      <c r="Z16" s="4">
        <v>10.199999999999999</v>
      </c>
      <c r="AA16" s="4">
        <v>30</v>
      </c>
      <c r="AB16" s="4"/>
      <c r="AC16" s="4"/>
      <c r="AD16" s="4"/>
      <c r="AE16" s="4">
        <v>9.6</v>
      </c>
      <c r="AF16" s="4">
        <v>17.2</v>
      </c>
      <c r="AG16" s="4">
        <v>6.4</v>
      </c>
      <c r="AH16" s="4">
        <v>11.2</v>
      </c>
    </row>
    <row r="17" spans="1:34" x14ac:dyDescent="0.2">
      <c r="A17" s="7">
        <f>SUM(D16:AH16)</f>
        <v>336.81</v>
      </c>
      <c r="B17" s="8">
        <f>SUM(D17:AH17)</f>
        <v>403.41</v>
      </c>
      <c r="C17" s="9" t="s">
        <v>3</v>
      </c>
      <c r="D17" s="10"/>
      <c r="E17" s="10">
        <v>403.41</v>
      </c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28.4</v>
      </c>
      <c r="C18" s="3" t="s">
        <v>2</v>
      </c>
      <c r="D18" s="4">
        <v>2.8</v>
      </c>
      <c r="E18" s="4"/>
      <c r="F18" s="4"/>
      <c r="G18" s="4">
        <v>5.2</v>
      </c>
      <c r="H18" s="4">
        <v>2.4</v>
      </c>
      <c r="I18" s="4">
        <v>7.6</v>
      </c>
      <c r="J18" s="4">
        <v>10.4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28.4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206.35000000000002</v>
      </c>
      <c r="C20" s="3" t="s">
        <v>2</v>
      </c>
      <c r="D20" s="4">
        <v>54.8</v>
      </c>
      <c r="E20" s="4">
        <v>65.8</v>
      </c>
      <c r="F20" s="4"/>
      <c r="G20" s="4">
        <v>6.5</v>
      </c>
      <c r="H20" s="20"/>
      <c r="I20" s="4"/>
      <c r="J20" s="4"/>
      <c r="K20" s="4"/>
      <c r="L20" s="4"/>
      <c r="M20" s="4"/>
      <c r="N20" s="4"/>
      <c r="O20" s="4"/>
      <c r="P20" s="4"/>
      <c r="Q20" s="4"/>
      <c r="R20" s="4">
        <v>4.5</v>
      </c>
      <c r="S20" s="4">
        <v>19</v>
      </c>
      <c r="T20" s="4"/>
      <c r="U20" s="4"/>
      <c r="V20" s="4"/>
      <c r="W20" s="4"/>
      <c r="X20" s="4"/>
      <c r="Y20" s="4">
        <v>5.3</v>
      </c>
      <c r="Z20" s="4">
        <v>19.3</v>
      </c>
      <c r="AA20" s="4"/>
      <c r="AB20" s="4"/>
      <c r="AC20" s="4"/>
      <c r="AD20" s="4"/>
      <c r="AE20" s="4"/>
      <c r="AF20" s="4">
        <v>14</v>
      </c>
      <c r="AG20" s="4">
        <v>17.149999999999999</v>
      </c>
      <c r="AH20" s="4"/>
    </row>
    <row r="21" spans="1:34" x14ac:dyDescent="0.2">
      <c r="A21" s="7">
        <f>SUM(D20:AH20)</f>
        <v>206.35000000000002</v>
      </c>
      <c r="B21" s="8">
        <f>SUM(D21:AH21)</f>
        <v>0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36.610000000000007</v>
      </c>
      <c r="C22" s="3" t="s">
        <v>2</v>
      </c>
      <c r="D22" s="4">
        <v>5</v>
      </c>
      <c r="E22" s="4">
        <v>12</v>
      </c>
      <c r="F22" s="4">
        <v>13.2</v>
      </c>
      <c r="G22" s="4"/>
      <c r="H22" s="4">
        <v>24</v>
      </c>
      <c r="I22" s="4">
        <v>5.8</v>
      </c>
      <c r="J22" s="4">
        <v>21.8</v>
      </c>
      <c r="K22" s="4">
        <v>32.15</v>
      </c>
      <c r="L22" s="4"/>
      <c r="M22" s="4">
        <v>23.4</v>
      </c>
      <c r="N22" s="4"/>
      <c r="O22" s="4"/>
      <c r="P22" s="4">
        <v>17.399999999999999</v>
      </c>
      <c r="Q22" s="4">
        <v>8.5</v>
      </c>
      <c r="R22" s="4"/>
      <c r="S22" s="4">
        <v>17.2</v>
      </c>
      <c r="T22" s="4"/>
      <c r="U22" s="4"/>
      <c r="V22" s="4"/>
      <c r="W22" s="4">
        <v>6</v>
      </c>
      <c r="X22" s="4">
        <v>9</v>
      </c>
      <c r="Y22" s="4">
        <v>3.5</v>
      </c>
      <c r="Z22" s="4"/>
      <c r="AA22" s="4">
        <v>14</v>
      </c>
      <c r="AB22" s="4"/>
      <c r="AC22" s="4"/>
      <c r="AD22" s="4">
        <v>34.5</v>
      </c>
      <c r="AE22" s="4">
        <v>26.8</v>
      </c>
      <c r="AF22" s="4">
        <v>14.9</v>
      </c>
      <c r="AG22" s="4">
        <v>6.6</v>
      </c>
      <c r="AH22" s="4">
        <v>10</v>
      </c>
    </row>
    <row r="23" spans="1:34" x14ac:dyDescent="0.2">
      <c r="A23" s="7">
        <f>SUM(D22:AH22)</f>
        <v>305.75</v>
      </c>
      <c r="B23" s="8">
        <f>SUM(D23:AH23)</f>
        <v>269.14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>
        <v>269.14</v>
      </c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173.7</v>
      </c>
      <c r="C24" s="3" t="s">
        <v>2</v>
      </c>
      <c r="D24" s="4"/>
      <c r="E24" s="4"/>
      <c r="F24" s="4">
        <v>6</v>
      </c>
      <c r="G24" s="4">
        <v>9.5</v>
      </c>
      <c r="H24" s="20">
        <v>42.7</v>
      </c>
      <c r="I24" s="4">
        <v>8.6</v>
      </c>
      <c r="J24" s="4"/>
      <c r="K24" s="4"/>
      <c r="L24" s="4"/>
      <c r="M24" s="4"/>
      <c r="N24" s="4"/>
      <c r="O24" s="4">
        <v>40.799999999999997</v>
      </c>
      <c r="P24" s="4"/>
      <c r="Q24" s="4">
        <v>5</v>
      </c>
      <c r="R24" s="4"/>
      <c r="S24" s="4"/>
      <c r="T24" s="4"/>
      <c r="U24" s="4"/>
      <c r="V24" s="4"/>
      <c r="W24" s="4">
        <v>10.8</v>
      </c>
      <c r="X24" s="4">
        <v>4</v>
      </c>
      <c r="Y24" s="4"/>
      <c r="Z24" s="4"/>
      <c r="AA24" s="4"/>
      <c r="AB24" s="4">
        <v>46.3</v>
      </c>
      <c r="AC24" s="4"/>
      <c r="AD24" s="4"/>
      <c r="AE24" s="4"/>
      <c r="AF24" s="4"/>
      <c r="AG24" s="4"/>
      <c r="AH24" s="4"/>
    </row>
    <row r="25" spans="1:34" x14ac:dyDescent="0.2">
      <c r="A25" s="7">
        <f>SUM(D24:AH24)</f>
        <v>173.7</v>
      </c>
      <c r="B25" s="8">
        <f>SUM(D25:AH25)</f>
        <v>0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-613.27</v>
      </c>
      <c r="C26" s="3" t="s">
        <v>2</v>
      </c>
      <c r="D26" s="4">
        <v>63</v>
      </c>
      <c r="E26" s="4">
        <v>11.3</v>
      </c>
      <c r="F26" s="4"/>
      <c r="G26" s="4"/>
      <c r="H26" s="4">
        <v>49.8</v>
      </c>
      <c r="I26" s="4"/>
      <c r="J26" s="4"/>
      <c r="K26" s="4"/>
      <c r="L26" s="4">
        <v>6.8</v>
      </c>
      <c r="M26" s="4">
        <v>28.65</v>
      </c>
      <c r="N26" s="4">
        <v>5</v>
      </c>
      <c r="O26" s="4"/>
      <c r="P26" s="4"/>
      <c r="Q26" s="4"/>
      <c r="R26" s="4">
        <v>15</v>
      </c>
      <c r="S26" s="4">
        <v>19.899999999999999</v>
      </c>
      <c r="T26" s="4">
        <v>21.6</v>
      </c>
      <c r="U26" s="4">
        <v>4.3</v>
      </c>
      <c r="V26" s="4">
        <v>44.7</v>
      </c>
      <c r="W26" s="4"/>
      <c r="X26" s="4"/>
      <c r="Y26" s="4">
        <v>67.95</v>
      </c>
      <c r="Z26" s="4">
        <v>33.5</v>
      </c>
      <c r="AA26" s="4">
        <v>19.600000000000001</v>
      </c>
      <c r="AB26" s="4"/>
      <c r="AC26" s="4"/>
      <c r="AD26" s="4"/>
      <c r="AE26" s="4"/>
      <c r="AF26" s="4"/>
      <c r="AG26" s="4">
        <v>20</v>
      </c>
      <c r="AH26" s="4"/>
    </row>
    <row r="27" spans="1:34" x14ac:dyDescent="0.2">
      <c r="A27" s="7">
        <f>SUM(D26:AH26)</f>
        <v>411.1</v>
      </c>
      <c r="B27" s="8">
        <f>SUM(D27:AH27)</f>
        <v>1024.3699999999999</v>
      </c>
      <c r="C27" s="9" t="s">
        <v>3</v>
      </c>
      <c r="D27" s="10"/>
      <c r="E27" s="10"/>
      <c r="F27" s="10"/>
      <c r="G27" s="10"/>
      <c r="H27" s="12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>
        <v>460</v>
      </c>
      <c r="W27" s="10"/>
      <c r="X27" s="10"/>
      <c r="Y27" s="10"/>
      <c r="Z27" s="10">
        <v>564.37</v>
      </c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2467.6600000000008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2066.29</v>
      </c>
    </row>
    <row r="31" spans="1:34" x14ac:dyDescent="0.2">
      <c r="A31" s="1" t="s">
        <v>17</v>
      </c>
      <c r="B31" s="6">
        <f>B29-B30</f>
        <v>401.3700000000008</v>
      </c>
    </row>
    <row r="32" spans="1:34" x14ac:dyDescent="0.2">
      <c r="A32" s="1" t="s">
        <v>23</v>
      </c>
      <c r="B32" s="26">
        <f>600+600+1000+2000</f>
        <v>4200</v>
      </c>
    </row>
  </sheetData>
  <conditionalFormatting sqref="B31">
    <cfRule type="cellIs" dxfId="13" priority="1" stopIfTrue="1" operator="lessThanOrEqual">
      <formula>0</formula>
    </cfRule>
    <cfRule type="cellIs" dxfId="12" priority="2" stopIfTrue="1" operator="greaterThanOrEqual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2"/>
  <sheetViews>
    <sheetView topLeftCell="A10" zoomScaleNormal="100" workbookViewId="0">
      <selection activeCell="H18" sqref="H18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8" width="5.5703125" bestFit="1" customWidth="1"/>
    <col min="9" max="9" width="6.5703125" bestFit="1" customWidth="1"/>
    <col min="10" max="19" width="5.5703125" bestFit="1" customWidth="1"/>
    <col min="20" max="20" width="6.5703125" bestFit="1" customWidth="1"/>
    <col min="21" max="22" width="5.5703125" bestFit="1" customWidth="1"/>
    <col min="23" max="23" width="6.5703125" bestFit="1" customWidth="1"/>
    <col min="24" max="24" width="5.5703125" bestFit="1" customWidth="1"/>
    <col min="25" max="26" width="6.5703125" bestFit="1" customWidth="1"/>
    <col min="27" max="34" width="5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2021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235.40999999999997</v>
      </c>
      <c r="C4" s="3" t="s">
        <v>2</v>
      </c>
      <c r="D4" s="4"/>
      <c r="E4" s="4"/>
      <c r="F4" s="4"/>
      <c r="G4" s="4"/>
      <c r="H4" s="4">
        <v>10</v>
      </c>
      <c r="I4" s="4"/>
      <c r="J4" s="4">
        <v>11.4</v>
      </c>
      <c r="K4" s="4">
        <v>25.8</v>
      </c>
      <c r="L4" s="4"/>
      <c r="M4" s="4"/>
      <c r="N4" s="4"/>
      <c r="O4" s="4">
        <v>15</v>
      </c>
      <c r="P4" s="4"/>
      <c r="Q4" s="4">
        <v>6</v>
      </c>
      <c r="R4" s="4">
        <v>6</v>
      </c>
      <c r="S4" s="4">
        <v>32.799999999999997</v>
      </c>
      <c r="T4" s="20"/>
      <c r="U4" s="4"/>
      <c r="V4" s="4">
        <v>22.6</v>
      </c>
      <c r="W4" s="4">
        <v>3.6</v>
      </c>
      <c r="X4" s="4">
        <v>6</v>
      </c>
      <c r="Y4" s="4"/>
      <c r="Z4" s="4">
        <v>9.1999999999999993</v>
      </c>
      <c r="AA4" s="4"/>
      <c r="AB4" s="4"/>
      <c r="AC4" s="4">
        <v>14.95</v>
      </c>
      <c r="AD4" s="4">
        <v>39.450000000000003</v>
      </c>
      <c r="AE4" s="4">
        <v>36.700000000000003</v>
      </c>
      <c r="AF4" s="4"/>
      <c r="AG4" s="4">
        <v>69.400000000000006</v>
      </c>
      <c r="AH4" s="4"/>
    </row>
    <row r="5" spans="1:34" x14ac:dyDescent="0.2">
      <c r="A5" s="7">
        <f>SUM(D4:AH4)</f>
        <v>308.89999999999998</v>
      </c>
      <c r="B5" s="8">
        <f>SUM(D5:AH5)</f>
        <v>73.489999999999995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>
        <v>73.489999999999995</v>
      </c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251.40000000000003</v>
      </c>
      <c r="C6" s="3" t="s">
        <v>2</v>
      </c>
      <c r="D6" s="4"/>
      <c r="E6" s="4">
        <v>10.9</v>
      </c>
      <c r="F6" s="4"/>
      <c r="G6" s="4"/>
      <c r="H6" s="4">
        <v>5</v>
      </c>
      <c r="I6" s="4"/>
      <c r="J6" s="4"/>
      <c r="K6" s="4"/>
      <c r="L6" s="4">
        <v>66</v>
      </c>
      <c r="M6" s="4">
        <v>5.6</v>
      </c>
      <c r="N6" s="20">
        <v>15</v>
      </c>
      <c r="O6" s="4">
        <v>35.700000000000003</v>
      </c>
      <c r="P6" s="4">
        <v>51</v>
      </c>
      <c r="Q6" s="4"/>
      <c r="R6" s="4"/>
      <c r="S6" s="4">
        <v>27.3</v>
      </c>
      <c r="T6" s="4">
        <v>3.6</v>
      </c>
      <c r="U6" s="4">
        <v>11.8</v>
      </c>
      <c r="V6" s="4">
        <v>2.8</v>
      </c>
      <c r="W6" s="4"/>
      <c r="X6" s="4"/>
      <c r="Y6" s="4"/>
      <c r="Z6" s="4">
        <v>6.8</v>
      </c>
      <c r="AA6" s="4">
        <v>9.9</v>
      </c>
      <c r="AB6" s="4"/>
      <c r="AC6" s="4"/>
      <c r="AD6" s="4"/>
      <c r="AE6" s="4"/>
      <c r="AF6" s="4"/>
      <c r="AG6" s="4"/>
      <c r="AH6" s="4"/>
    </row>
    <row r="7" spans="1:34" x14ac:dyDescent="0.2">
      <c r="A7" s="7">
        <f>SUM(D6:AH6)</f>
        <v>251.40000000000003</v>
      </c>
      <c r="B7" s="8">
        <f>SUM(D7:AH7)</f>
        <v>0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90.55</v>
      </c>
      <c r="C8" s="3" t="s">
        <v>2</v>
      </c>
      <c r="D8" s="4"/>
      <c r="E8" s="4"/>
      <c r="F8" s="4">
        <v>6</v>
      </c>
      <c r="G8" s="4">
        <v>4</v>
      </c>
      <c r="H8" s="4"/>
      <c r="I8" s="4"/>
      <c r="J8" s="4"/>
      <c r="K8" s="4"/>
      <c r="L8" s="4"/>
      <c r="M8" s="4"/>
      <c r="O8" s="4"/>
      <c r="P8" s="4">
        <v>4</v>
      </c>
      <c r="Q8" s="4"/>
      <c r="R8" s="4"/>
      <c r="S8" s="4">
        <v>8</v>
      </c>
      <c r="T8" s="4"/>
      <c r="U8" s="4">
        <v>3</v>
      </c>
      <c r="V8" s="4">
        <v>24.35</v>
      </c>
      <c r="W8" s="4"/>
      <c r="X8" s="4"/>
      <c r="Y8" s="4"/>
      <c r="Z8" s="4">
        <v>17.600000000000001</v>
      </c>
      <c r="AA8" s="4">
        <v>6</v>
      </c>
      <c r="AB8" s="4"/>
      <c r="AC8" s="4"/>
      <c r="AD8" s="4">
        <v>4</v>
      </c>
      <c r="AE8" s="4"/>
      <c r="AF8" s="4"/>
      <c r="AG8" s="4">
        <v>8</v>
      </c>
      <c r="AH8" s="4">
        <v>5.6</v>
      </c>
    </row>
    <row r="9" spans="1:34" x14ac:dyDescent="0.2">
      <c r="A9" s="7">
        <f>SUM(D8:AH8)</f>
        <v>90.55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-25.660000000000014</v>
      </c>
      <c r="C10" s="3" t="s">
        <v>2</v>
      </c>
      <c r="D10" s="4"/>
      <c r="E10" s="4">
        <v>5.8</v>
      </c>
      <c r="F10" s="4">
        <v>23.2</v>
      </c>
      <c r="G10" s="4">
        <v>12.6</v>
      </c>
      <c r="H10" s="4"/>
      <c r="I10" s="4">
        <v>12.4</v>
      </c>
      <c r="J10" s="4"/>
      <c r="K10" s="4">
        <v>8</v>
      </c>
      <c r="L10" s="4">
        <v>12</v>
      </c>
      <c r="M10" s="4">
        <v>11.2</v>
      </c>
      <c r="N10" s="4"/>
      <c r="O10" s="4"/>
      <c r="P10" s="4"/>
      <c r="Q10" s="4">
        <v>32.799999999999997</v>
      </c>
      <c r="R10" s="4"/>
      <c r="S10" s="4"/>
      <c r="T10" s="4">
        <v>18.7</v>
      </c>
      <c r="U10" s="4"/>
      <c r="V10" s="4"/>
      <c r="W10" s="4">
        <v>24</v>
      </c>
      <c r="X10" s="4"/>
      <c r="Y10" s="4">
        <v>24.4</v>
      </c>
      <c r="Z10" s="4"/>
      <c r="AA10" s="4">
        <v>24.15</v>
      </c>
      <c r="AB10" s="4"/>
      <c r="AC10" s="4"/>
      <c r="AD10" s="4">
        <v>5.8</v>
      </c>
      <c r="AE10" s="4"/>
      <c r="AF10" s="4"/>
      <c r="AG10" s="4"/>
      <c r="AH10" s="4"/>
    </row>
    <row r="11" spans="1:34" x14ac:dyDescent="0.2">
      <c r="A11" s="7">
        <f>SUM(D10:AH10)</f>
        <v>215.05</v>
      </c>
      <c r="B11" s="8">
        <f>SUM(D11:AH11)</f>
        <v>240.71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>
        <v>240.71</v>
      </c>
      <c r="Z11" s="10"/>
      <c r="AA11" s="10"/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318.7</v>
      </c>
      <c r="C12" s="3" t="s">
        <v>2</v>
      </c>
      <c r="D12" s="4"/>
      <c r="E12" s="4"/>
      <c r="F12" s="4"/>
      <c r="G12" s="4">
        <v>9.35</v>
      </c>
      <c r="H12" s="4">
        <v>38.6</v>
      </c>
      <c r="I12" s="4"/>
      <c r="J12" s="4">
        <v>13.8</v>
      </c>
      <c r="K12" s="4">
        <v>6.65</v>
      </c>
      <c r="L12" s="4"/>
      <c r="M12" s="4"/>
      <c r="N12" s="4"/>
      <c r="O12" s="4"/>
      <c r="P12" s="4">
        <v>24</v>
      </c>
      <c r="Q12" s="4">
        <v>9.1</v>
      </c>
      <c r="R12" s="4">
        <v>89.2</v>
      </c>
      <c r="S12" s="4"/>
      <c r="T12" s="4"/>
      <c r="U12" s="4">
        <v>42.2</v>
      </c>
      <c r="V12" s="4">
        <v>14.3</v>
      </c>
      <c r="W12" s="4">
        <v>28</v>
      </c>
      <c r="X12" s="4"/>
      <c r="Y12" s="4">
        <v>29</v>
      </c>
      <c r="Z12" s="4"/>
      <c r="AA12" s="4"/>
      <c r="AB12" s="4"/>
      <c r="AC12" s="4">
        <f>1+0.9</f>
        <v>1.9</v>
      </c>
      <c r="AD12" s="4">
        <v>5.8</v>
      </c>
      <c r="AE12" s="4">
        <v>6.8</v>
      </c>
      <c r="AF12" s="4"/>
      <c r="AG12" s="4"/>
      <c r="AH12" s="4"/>
    </row>
    <row r="13" spans="1:34" x14ac:dyDescent="0.2">
      <c r="A13" s="7">
        <f>SUM(D12:AH12)</f>
        <v>318.7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-352.99</v>
      </c>
      <c r="C14" s="3" t="s">
        <v>2</v>
      </c>
      <c r="D14" s="4">
        <v>3</v>
      </c>
      <c r="E14" s="4"/>
      <c r="F14" s="4">
        <v>14</v>
      </c>
      <c r="G14" s="4">
        <v>13.5</v>
      </c>
      <c r="H14" s="4">
        <v>27</v>
      </c>
      <c r="I14" s="4"/>
      <c r="J14" s="4"/>
      <c r="K14" s="4">
        <v>16</v>
      </c>
      <c r="L14" s="4">
        <v>16</v>
      </c>
      <c r="M14" s="4"/>
      <c r="N14" s="4"/>
      <c r="O14" s="4">
        <v>10</v>
      </c>
      <c r="P14" s="4"/>
      <c r="Q14" s="4"/>
      <c r="R14" s="4"/>
      <c r="S14" s="4">
        <v>8</v>
      </c>
      <c r="T14" s="4"/>
      <c r="U14" s="4">
        <v>9</v>
      </c>
      <c r="V14" s="4">
        <v>6.75</v>
      </c>
      <c r="W14" s="4"/>
      <c r="X14" s="4"/>
      <c r="Y14" s="4">
        <v>4</v>
      </c>
      <c r="Z14" s="4">
        <v>8</v>
      </c>
      <c r="AA14" s="4">
        <v>31.3</v>
      </c>
      <c r="AB14" s="4">
        <v>25.2</v>
      </c>
      <c r="AC14" s="4"/>
      <c r="AD14" s="4"/>
      <c r="AE14" s="4"/>
      <c r="AF14" s="4">
        <v>7.5</v>
      </c>
      <c r="AG14" s="4">
        <v>15.5</v>
      </c>
      <c r="AH14" s="4"/>
    </row>
    <row r="15" spans="1:34" x14ac:dyDescent="0.2">
      <c r="A15" s="7">
        <f>SUM(D14:AH14)</f>
        <v>214.75</v>
      </c>
      <c r="B15" s="8">
        <f>SUM(D15:AH15)</f>
        <v>567.74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>
        <f>297.74+270</f>
        <v>567.74</v>
      </c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325.95</v>
      </c>
      <c r="C16" s="3" t="s">
        <v>2</v>
      </c>
      <c r="D16" s="4"/>
      <c r="E16" s="4">
        <v>4.4000000000000004</v>
      </c>
      <c r="F16" s="4"/>
      <c r="G16" s="4"/>
      <c r="H16" s="4"/>
      <c r="I16" s="4">
        <v>97.05</v>
      </c>
      <c r="J16" s="4">
        <v>4</v>
      </c>
      <c r="K16" s="4">
        <v>20.9</v>
      </c>
      <c r="L16" s="4">
        <v>19.600000000000001</v>
      </c>
      <c r="M16" s="4">
        <v>17</v>
      </c>
      <c r="N16" s="4"/>
      <c r="O16" s="4"/>
      <c r="P16" s="4"/>
      <c r="Q16" s="4">
        <v>4.2</v>
      </c>
      <c r="R16" s="4">
        <v>3.2</v>
      </c>
      <c r="T16" s="4">
        <v>31.6</v>
      </c>
      <c r="U16" s="4"/>
      <c r="V16" s="4"/>
      <c r="W16" s="4">
        <v>17</v>
      </c>
      <c r="X16" s="4"/>
      <c r="Y16" s="4">
        <v>7.1</v>
      </c>
      <c r="Z16" s="4">
        <v>19.600000000000001</v>
      </c>
      <c r="AA16" s="4">
        <v>10.5</v>
      </c>
      <c r="AB16" s="4"/>
      <c r="AC16" s="4"/>
      <c r="AD16" s="4"/>
      <c r="AE16" s="4">
        <v>21</v>
      </c>
      <c r="AF16" s="4"/>
      <c r="AG16" s="4">
        <v>48.8</v>
      </c>
      <c r="AH16" s="4"/>
    </row>
    <row r="17" spans="1:34" x14ac:dyDescent="0.2">
      <c r="A17" s="7">
        <f>SUM(D16:AH16)</f>
        <v>325.95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70.8</v>
      </c>
      <c r="C18" s="3" t="s">
        <v>2</v>
      </c>
      <c r="D18" s="4"/>
      <c r="E18" s="4"/>
      <c r="F18" s="4">
        <v>4</v>
      </c>
      <c r="G18" s="4">
        <v>14.4</v>
      </c>
      <c r="H18" s="4">
        <v>18.600000000000001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>
        <v>33.799999999999997</v>
      </c>
    </row>
    <row r="19" spans="1:34" x14ac:dyDescent="0.2">
      <c r="A19" s="7">
        <f>SUM(D18:AH18)</f>
        <v>70.8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100.83999999999999</v>
      </c>
      <c r="C20" s="3" t="s">
        <v>2</v>
      </c>
      <c r="D20" s="4"/>
      <c r="E20" s="4">
        <v>13.2</v>
      </c>
      <c r="F20" s="4"/>
      <c r="G20" s="4"/>
      <c r="H20" s="20"/>
      <c r="I20" s="4"/>
      <c r="J20" s="4">
        <v>22.6</v>
      </c>
      <c r="K20" s="4"/>
      <c r="L20" s="4">
        <v>67.2</v>
      </c>
      <c r="M20" s="4">
        <v>16.600000000000001</v>
      </c>
      <c r="N20" s="4">
        <v>9.6</v>
      </c>
      <c r="O20" s="4"/>
      <c r="P20" s="4"/>
      <c r="Q20" s="4"/>
      <c r="R20" s="4">
        <v>34.5</v>
      </c>
      <c r="S20" s="4">
        <v>5</v>
      </c>
      <c r="T20" s="4">
        <v>6</v>
      </c>
      <c r="U20" s="4">
        <v>16.8</v>
      </c>
      <c r="V20" s="4"/>
      <c r="W20" s="4"/>
      <c r="X20" s="4">
        <v>9.1999999999999993</v>
      </c>
      <c r="Y20" s="4">
        <v>5.5</v>
      </c>
      <c r="Z20" s="4">
        <v>34.200000000000003</v>
      </c>
      <c r="AA20" s="4"/>
      <c r="AB20" s="4">
        <v>54.8</v>
      </c>
      <c r="AC20" s="4"/>
      <c r="AD20" s="4"/>
      <c r="AE20" s="4">
        <v>34.799999999999997</v>
      </c>
      <c r="AF20" s="4">
        <v>14</v>
      </c>
      <c r="AG20" s="4"/>
      <c r="AH20" s="4"/>
    </row>
    <row r="21" spans="1:34" x14ac:dyDescent="0.2">
      <c r="A21" s="7">
        <f>SUM(D20:AH20)</f>
        <v>344</v>
      </c>
      <c r="B21" s="8">
        <f>SUM(D21:AH21)</f>
        <v>243.16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>
        <v>243.16</v>
      </c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105.59999999999998</v>
      </c>
      <c r="C22" s="3" t="s">
        <v>2</v>
      </c>
      <c r="D22" s="4"/>
      <c r="E22" s="4">
        <v>4.5</v>
      </c>
      <c r="F22" s="4"/>
      <c r="G22" s="4"/>
      <c r="H22" s="4"/>
      <c r="I22" s="4">
        <v>6</v>
      </c>
      <c r="J22" s="4">
        <v>54.3</v>
      </c>
      <c r="K22" s="4"/>
      <c r="L22" s="4"/>
      <c r="M22" s="4"/>
      <c r="N22" s="4"/>
      <c r="O22" s="4">
        <v>8.6999999999999993</v>
      </c>
      <c r="P22" s="4">
        <v>16.600000000000001</v>
      </c>
      <c r="Q22" s="4"/>
      <c r="R22" s="4"/>
      <c r="S22" s="4">
        <v>8</v>
      </c>
      <c r="T22" s="4"/>
      <c r="U22" s="4"/>
      <c r="V22" s="4">
        <v>17.600000000000001</v>
      </c>
      <c r="W22" s="4">
        <v>26.6</v>
      </c>
      <c r="X22" s="4"/>
      <c r="Y22" s="4"/>
      <c r="Z22" s="4"/>
      <c r="AA22" s="4"/>
      <c r="AB22" s="4"/>
      <c r="AC22" s="4">
        <v>6</v>
      </c>
      <c r="AD22" s="4">
        <v>25.2</v>
      </c>
      <c r="AE22" s="4"/>
      <c r="AF22" s="4">
        <v>3.1</v>
      </c>
      <c r="AG22" s="4">
        <v>10</v>
      </c>
      <c r="AH22" s="4"/>
    </row>
    <row r="23" spans="1:34" x14ac:dyDescent="0.2">
      <c r="A23" s="7">
        <f>SUM(D22:AH22)</f>
        <v>186.59999999999997</v>
      </c>
      <c r="B23" s="8">
        <f>SUM(D23:AH23)</f>
        <v>81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>
        <v>81</v>
      </c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312.40000000000003</v>
      </c>
      <c r="C24" s="3" t="s">
        <v>2</v>
      </c>
      <c r="D24" s="4"/>
      <c r="E24" s="4"/>
      <c r="F24" s="4"/>
      <c r="G24" s="4">
        <v>5.6</v>
      </c>
      <c r="H24" s="20">
        <v>23.2</v>
      </c>
      <c r="I24" s="4"/>
      <c r="J24" s="4"/>
      <c r="K24" s="4"/>
      <c r="L24" s="4">
        <v>7.2</v>
      </c>
      <c r="M24" s="4">
        <v>95.2</v>
      </c>
      <c r="N24" s="4">
        <v>11.9</v>
      </c>
      <c r="O24" s="4">
        <v>15.6</v>
      </c>
      <c r="P24" s="4">
        <v>10.5</v>
      </c>
      <c r="Q24" s="4"/>
      <c r="R24" s="4"/>
      <c r="S24" s="4"/>
      <c r="T24" s="4">
        <v>6.5</v>
      </c>
      <c r="U24" s="4">
        <v>20.2</v>
      </c>
      <c r="V24" s="4">
        <v>8.8000000000000007</v>
      </c>
      <c r="W24" s="4"/>
      <c r="X24" s="4"/>
      <c r="Y24" s="4"/>
      <c r="Z24" s="4">
        <v>8.8000000000000007</v>
      </c>
      <c r="AA24" s="4">
        <v>38.799999999999997</v>
      </c>
      <c r="AB24" s="4">
        <v>5.6</v>
      </c>
      <c r="AC24" s="4">
        <v>23.2</v>
      </c>
      <c r="AD24" s="4">
        <v>15</v>
      </c>
      <c r="AE24" s="4"/>
      <c r="AF24" s="4"/>
      <c r="AG24" s="4">
        <v>16.3</v>
      </c>
      <c r="AH24" s="4"/>
    </row>
    <row r="25" spans="1:34" x14ac:dyDescent="0.2">
      <c r="A25" s="7">
        <f>SUM(D24:AH24)</f>
        <v>312.40000000000003</v>
      </c>
      <c r="B25" s="8">
        <f>SUM(D25:AH25)</f>
        <v>0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-84.22</v>
      </c>
      <c r="C26" s="3" t="s">
        <v>2</v>
      </c>
      <c r="D26" s="4">
        <v>25</v>
      </c>
      <c r="E26" s="4">
        <v>37.5</v>
      </c>
      <c r="F26" s="4"/>
      <c r="G26" s="4"/>
      <c r="H26" s="4"/>
      <c r="I26" s="4"/>
      <c r="J26" s="4">
        <v>55.6</v>
      </c>
      <c r="K26" s="4"/>
      <c r="L26" s="4">
        <v>27</v>
      </c>
      <c r="M26" s="4">
        <v>45.2</v>
      </c>
      <c r="N26" s="4">
        <v>9</v>
      </c>
      <c r="O26" s="4"/>
      <c r="P26" s="4"/>
      <c r="Q26" s="4">
        <v>23</v>
      </c>
      <c r="R26" s="4">
        <v>12.4</v>
      </c>
      <c r="S26" s="4"/>
      <c r="T26" s="4">
        <v>20</v>
      </c>
      <c r="U26" s="4">
        <v>59.4</v>
      </c>
      <c r="V26" s="4"/>
      <c r="W26" s="4"/>
      <c r="X26" s="4">
        <v>43.4</v>
      </c>
      <c r="Y26" s="4">
        <v>13.6</v>
      </c>
      <c r="Z26" s="4">
        <v>81.5</v>
      </c>
      <c r="AA26" s="4">
        <v>21.2</v>
      </c>
      <c r="AB26" s="4"/>
      <c r="AC26" s="4"/>
      <c r="AD26" s="4"/>
      <c r="AE26" s="4">
        <v>9.8000000000000007</v>
      </c>
      <c r="AF26" s="4">
        <v>9.1999999999999993</v>
      </c>
      <c r="AG26" s="4"/>
      <c r="AH26" s="4">
        <v>14.2</v>
      </c>
    </row>
    <row r="27" spans="1:34" x14ac:dyDescent="0.2">
      <c r="A27" s="7">
        <f>SUM(D26:AH26)</f>
        <v>507</v>
      </c>
      <c r="B27" s="8">
        <f>SUM(D27:AH27)</f>
        <v>591.22</v>
      </c>
      <c r="C27" s="9" t="s">
        <v>3</v>
      </c>
      <c r="D27" s="10"/>
      <c r="E27" s="10"/>
      <c r="F27" s="10"/>
      <c r="G27" s="10"/>
      <c r="H27" s="12"/>
      <c r="I27" s="21">
        <v>340</v>
      </c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>
        <v>251.22</v>
      </c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3146.0999999999995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1797.32</v>
      </c>
    </row>
    <row r="31" spans="1:34" x14ac:dyDescent="0.2">
      <c r="A31" s="1" t="s">
        <v>17</v>
      </c>
      <c r="B31" s="6">
        <f>B29-B30</f>
        <v>1348.7799999999995</v>
      </c>
    </row>
    <row r="32" spans="1:34" x14ac:dyDescent="0.2">
      <c r="A32" s="1"/>
      <c r="B32" s="26"/>
    </row>
  </sheetData>
  <conditionalFormatting sqref="B31">
    <cfRule type="cellIs" dxfId="11" priority="1" stopIfTrue="1" operator="lessThanOrEqual">
      <formula>0</formula>
    </cfRule>
    <cfRule type="cellIs" dxfId="10" priority="2" stopIfTrue="1" operator="greaterThanOrEqual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2"/>
  <sheetViews>
    <sheetView topLeftCell="A13" workbookViewId="0">
      <selection activeCell="K23" sqref="K23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8" width="5.5703125" bestFit="1" customWidth="1"/>
    <col min="9" max="9" width="6.5703125" bestFit="1" customWidth="1"/>
    <col min="10" max="10" width="5.5703125" bestFit="1" customWidth="1"/>
    <col min="11" max="12" width="6.5703125" bestFit="1" customWidth="1"/>
    <col min="13" max="16" width="5.5703125" bestFit="1" customWidth="1"/>
    <col min="17" max="17" width="6.5703125" bestFit="1" customWidth="1"/>
    <col min="18" max="19" width="5.5703125" bestFit="1" customWidth="1"/>
    <col min="20" max="20" width="6.5703125" bestFit="1" customWidth="1"/>
    <col min="21" max="21" width="5.5703125" bestFit="1" customWidth="1"/>
    <col min="22" max="23" width="6.5703125" bestFit="1" customWidth="1"/>
    <col min="24" max="24" width="5.5703125" bestFit="1" customWidth="1"/>
    <col min="25" max="26" width="6.5703125" bestFit="1" customWidth="1"/>
    <col min="27" max="32" width="5.5703125" bestFit="1" customWidth="1"/>
    <col min="33" max="33" width="6.5703125" bestFit="1" customWidth="1"/>
    <col min="34" max="34" width="5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2022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127.1</v>
      </c>
      <c r="C4" s="3" t="s">
        <v>2</v>
      </c>
      <c r="D4" s="4"/>
      <c r="E4" s="4"/>
      <c r="F4" s="4"/>
      <c r="G4" s="4">
        <v>11.2</v>
      </c>
      <c r="H4" s="4">
        <v>5</v>
      </c>
      <c r="I4" s="4"/>
      <c r="J4" s="4"/>
      <c r="K4" s="4"/>
      <c r="L4" s="4"/>
      <c r="M4" s="4"/>
      <c r="N4" s="4"/>
      <c r="O4" s="4">
        <v>9</v>
      </c>
      <c r="P4" s="4"/>
      <c r="Q4" s="4"/>
      <c r="R4" s="4"/>
      <c r="S4" s="4"/>
      <c r="T4" s="20"/>
      <c r="U4" s="4"/>
      <c r="V4" s="4"/>
      <c r="W4" s="4">
        <v>3.2</v>
      </c>
      <c r="X4" s="4">
        <v>18.100000000000001</v>
      </c>
      <c r="Y4" s="4">
        <v>8</v>
      </c>
      <c r="Z4" s="4"/>
      <c r="AA4" s="4"/>
      <c r="AB4" s="4">
        <v>17.8</v>
      </c>
      <c r="AC4" s="4">
        <v>6.1</v>
      </c>
      <c r="AD4" s="4">
        <v>4</v>
      </c>
      <c r="AE4" s="4">
        <v>15</v>
      </c>
      <c r="AF4" s="4">
        <v>29.7</v>
      </c>
      <c r="AG4" s="4"/>
      <c r="AH4" s="4"/>
    </row>
    <row r="5" spans="1:34" x14ac:dyDescent="0.2">
      <c r="A5" s="7">
        <f>SUM(D4:AH4)</f>
        <v>127.1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177.75</v>
      </c>
      <c r="C6" s="3" t="s">
        <v>2</v>
      </c>
      <c r="D6" s="4">
        <v>19.600000000000001</v>
      </c>
      <c r="E6" s="4"/>
      <c r="F6" s="4">
        <v>38.1</v>
      </c>
      <c r="G6" s="4">
        <v>10.5</v>
      </c>
      <c r="H6" s="4">
        <v>19.2</v>
      </c>
      <c r="I6" s="4"/>
      <c r="J6" s="4"/>
      <c r="K6" s="4"/>
      <c r="L6" s="4">
        <v>32.049999999999997</v>
      </c>
      <c r="M6" s="4">
        <v>6</v>
      </c>
      <c r="N6" s="20">
        <v>19.399999999999999</v>
      </c>
      <c r="O6" s="4">
        <v>7.9</v>
      </c>
      <c r="P6" s="4"/>
      <c r="Q6" s="4"/>
      <c r="R6" s="4"/>
      <c r="S6" s="4"/>
      <c r="T6" s="4">
        <v>6</v>
      </c>
      <c r="U6" s="4">
        <v>3</v>
      </c>
      <c r="V6" s="4"/>
      <c r="W6" s="4"/>
      <c r="X6" s="4"/>
      <c r="Y6" s="4"/>
      <c r="Z6" s="4">
        <v>6</v>
      </c>
      <c r="AA6" s="4"/>
      <c r="AB6" s="4">
        <v>10</v>
      </c>
      <c r="AC6" s="4"/>
      <c r="AD6" s="4"/>
      <c r="AE6" s="4"/>
      <c r="AF6" s="4"/>
      <c r="AG6" s="4"/>
      <c r="AH6" s="4"/>
    </row>
    <row r="7" spans="1:34" x14ac:dyDescent="0.2">
      <c r="A7" s="7">
        <f>SUM(D6:AH6)</f>
        <v>177.75</v>
      </c>
      <c r="B7" s="8">
        <f>SUM(D7:AH7)</f>
        <v>0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-134</v>
      </c>
      <c r="C8" s="3" t="s">
        <v>2</v>
      </c>
      <c r="D8" s="4">
        <v>14.4</v>
      </c>
      <c r="E8" s="4">
        <v>12.3</v>
      </c>
      <c r="F8" s="4">
        <v>36.799999999999997</v>
      </c>
      <c r="G8" s="4"/>
      <c r="H8" s="4"/>
      <c r="I8" s="4"/>
      <c r="J8" s="4"/>
      <c r="K8" s="4"/>
      <c r="L8" s="4"/>
      <c r="M8" s="4">
        <v>15</v>
      </c>
      <c r="O8" s="4"/>
      <c r="P8" s="4"/>
      <c r="Q8" s="4"/>
      <c r="R8" s="4">
        <v>6.5</v>
      </c>
      <c r="S8" s="4"/>
      <c r="T8" s="4"/>
      <c r="U8" s="4"/>
      <c r="V8" s="4"/>
      <c r="W8" s="4"/>
      <c r="X8" s="4"/>
      <c r="Y8" s="4">
        <v>4</v>
      </c>
      <c r="Z8" s="4"/>
      <c r="AA8" s="4">
        <v>6.2</v>
      </c>
      <c r="AB8" s="4">
        <v>17.600000000000001</v>
      </c>
      <c r="AC8" s="4"/>
      <c r="AD8" s="4"/>
      <c r="AE8" s="4"/>
      <c r="AF8" s="4"/>
      <c r="AG8" s="4">
        <v>3.2</v>
      </c>
      <c r="AH8" s="4"/>
    </row>
    <row r="9" spans="1:34" x14ac:dyDescent="0.2">
      <c r="A9" s="7">
        <f>SUM(D8:AH8)</f>
        <v>116.00000000000001</v>
      </c>
      <c r="B9" s="8">
        <f>SUM(D9:AH9)</f>
        <v>250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>
        <v>250</v>
      </c>
      <c r="AH9" s="10"/>
    </row>
    <row r="10" spans="1:34" x14ac:dyDescent="0.2">
      <c r="A10" s="1" t="s">
        <v>6</v>
      </c>
      <c r="B10" s="6">
        <f t="array" ref="B10">SUM(D10:AH10-D11:AH11)</f>
        <v>126.60000000000001</v>
      </c>
      <c r="C10" s="3" t="s">
        <v>2</v>
      </c>
      <c r="D10" s="4">
        <v>17.600000000000001</v>
      </c>
      <c r="E10" s="4">
        <v>4.3</v>
      </c>
      <c r="F10" s="4"/>
      <c r="G10" s="4"/>
      <c r="H10" s="4">
        <v>18</v>
      </c>
      <c r="I10" s="4"/>
      <c r="J10" s="4">
        <v>10</v>
      </c>
      <c r="K10" s="4">
        <v>60.5</v>
      </c>
      <c r="L10" s="4">
        <v>16.2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</row>
    <row r="11" spans="1:34" x14ac:dyDescent="0.2">
      <c r="A11" s="7">
        <f>SUM(D10:AH10)</f>
        <v>126.60000000000001</v>
      </c>
      <c r="B11" s="8">
        <f>SUM(D11:AH11)</f>
        <v>0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103.6</v>
      </c>
      <c r="C12" s="3" t="s">
        <v>2</v>
      </c>
      <c r="D12" s="4"/>
      <c r="E12" s="4"/>
      <c r="F12" s="4"/>
      <c r="G12" s="4"/>
      <c r="H12" s="4"/>
      <c r="I12" s="4"/>
      <c r="J12" s="4"/>
      <c r="K12" s="4"/>
      <c r="L12" s="4"/>
      <c r="M12" s="4">
        <v>2.2000000000000002</v>
      </c>
      <c r="N12" s="4">
        <v>8.3000000000000007</v>
      </c>
      <c r="O12" s="4">
        <v>9.4</v>
      </c>
      <c r="P12" s="4"/>
      <c r="Q12" s="4">
        <v>10.5</v>
      </c>
      <c r="R12" s="4"/>
      <c r="S12" s="4"/>
      <c r="T12" s="4">
        <v>6</v>
      </c>
      <c r="U12" s="4">
        <v>28.3</v>
      </c>
      <c r="V12" s="4"/>
      <c r="W12" s="4">
        <v>3.6</v>
      </c>
      <c r="X12" s="4">
        <v>16.399999999999999</v>
      </c>
      <c r="Y12" s="4"/>
      <c r="Z12" s="4"/>
      <c r="AA12" s="4"/>
      <c r="AB12" s="4">
        <v>9.5</v>
      </c>
      <c r="AC12" s="4"/>
      <c r="AD12" s="4"/>
      <c r="AE12" s="4">
        <v>9.4</v>
      </c>
      <c r="AF12" s="4"/>
      <c r="AG12" s="4"/>
      <c r="AH12" s="4"/>
    </row>
    <row r="13" spans="1:34" x14ac:dyDescent="0.2">
      <c r="A13" s="7">
        <f>SUM(D12:AH12)</f>
        <v>103.6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20.209999999999983</v>
      </c>
      <c r="C14" s="3" t="s">
        <v>2</v>
      </c>
      <c r="D14" s="4">
        <v>5</v>
      </c>
      <c r="E14" s="4"/>
      <c r="F14" s="4">
        <v>4.5</v>
      </c>
      <c r="G14" s="4">
        <v>7.2</v>
      </c>
      <c r="H14" s="4"/>
      <c r="I14" s="4"/>
      <c r="J14" s="4"/>
      <c r="K14" s="4">
        <v>8.6999999999999993</v>
      </c>
      <c r="L14" s="4"/>
      <c r="M14" s="4">
        <v>49.35</v>
      </c>
      <c r="N14" s="4"/>
      <c r="O14" s="4"/>
      <c r="P14" s="4"/>
      <c r="Q14" s="4"/>
      <c r="R14" s="4">
        <v>83.8</v>
      </c>
      <c r="S14" s="4"/>
      <c r="T14" s="4"/>
      <c r="U14" s="4"/>
      <c r="V14" s="4"/>
      <c r="W14" s="4"/>
      <c r="X14" s="4">
        <v>12.2</v>
      </c>
      <c r="Y14" s="4">
        <v>31</v>
      </c>
      <c r="Z14" s="4">
        <v>19.399999999999999</v>
      </c>
      <c r="AA14" s="4">
        <v>6.4</v>
      </c>
      <c r="AB14" s="4">
        <v>21</v>
      </c>
      <c r="AC14" s="4"/>
      <c r="AD14" s="4"/>
      <c r="AE14" s="4"/>
      <c r="AF14" s="4">
        <v>5.8</v>
      </c>
      <c r="AG14" s="4">
        <v>21</v>
      </c>
      <c r="AH14" s="4"/>
    </row>
    <row r="15" spans="1:34" x14ac:dyDescent="0.2">
      <c r="A15" s="7">
        <f>SUM(D14:AH14)</f>
        <v>275.35000000000002</v>
      </c>
      <c r="B15" s="8">
        <f>SUM(D15:AH15)</f>
        <v>255.14</v>
      </c>
      <c r="C15" s="9" t="s">
        <v>3</v>
      </c>
      <c r="D15" s="10"/>
      <c r="E15" s="10"/>
      <c r="F15" s="10"/>
      <c r="G15" s="10"/>
      <c r="H15" s="10"/>
      <c r="I15" s="10"/>
      <c r="J15" s="10"/>
      <c r="K15" s="10">
        <v>255.14</v>
      </c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231.3</v>
      </c>
      <c r="C16" s="3" t="s">
        <v>2</v>
      </c>
      <c r="D16" s="4"/>
      <c r="E16" s="4">
        <v>14.4</v>
      </c>
      <c r="F16" s="4"/>
      <c r="G16" s="4"/>
      <c r="H16" s="4">
        <v>12</v>
      </c>
      <c r="I16" s="4"/>
      <c r="J16" s="4">
        <v>37.5</v>
      </c>
      <c r="K16" s="4"/>
      <c r="L16" s="4">
        <v>24</v>
      </c>
      <c r="M16" s="4"/>
      <c r="N16" s="4"/>
      <c r="O16" s="4">
        <v>12.2</v>
      </c>
      <c r="P16" s="4">
        <v>20.8</v>
      </c>
      <c r="Q16" s="4"/>
      <c r="R16" s="4">
        <v>26</v>
      </c>
      <c r="T16" s="4"/>
      <c r="U16" s="4"/>
      <c r="V16" s="4"/>
      <c r="W16" s="4">
        <v>35</v>
      </c>
      <c r="X16" s="4"/>
      <c r="Y16" s="4">
        <v>8.1999999999999993</v>
      </c>
      <c r="Z16" s="4">
        <v>33.200000000000003</v>
      </c>
      <c r="AA16" s="4"/>
      <c r="AB16" s="4"/>
      <c r="AC16" s="4">
        <v>3.8</v>
      </c>
      <c r="AD16" s="4"/>
      <c r="AE16" s="4"/>
      <c r="AF16" s="4">
        <v>4.2</v>
      </c>
      <c r="AG16" s="4"/>
      <c r="AH16" s="4"/>
    </row>
    <row r="17" spans="1:34" x14ac:dyDescent="0.2">
      <c r="A17" s="7">
        <f>SUM(D16:AH16)</f>
        <v>231.3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20.399999999999999</v>
      </c>
      <c r="C18" s="3" t="s">
        <v>2</v>
      </c>
      <c r="D18" s="4"/>
      <c r="E18" s="4"/>
      <c r="F18" s="4">
        <v>6.4</v>
      </c>
      <c r="G18" s="4"/>
      <c r="H18" s="4">
        <v>14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20.399999999999999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79.3</v>
      </c>
      <c r="C20" s="3" t="s">
        <v>2</v>
      </c>
      <c r="D20" s="4"/>
      <c r="E20" s="4"/>
      <c r="F20" s="4"/>
      <c r="G20" s="4"/>
      <c r="H20" s="20"/>
      <c r="I20" s="4"/>
      <c r="J20" s="4">
        <v>32.65</v>
      </c>
      <c r="K20" s="4">
        <v>6.4</v>
      </c>
      <c r="L20" s="4">
        <v>10</v>
      </c>
      <c r="M20" s="4">
        <v>5.4</v>
      </c>
      <c r="N20" s="4"/>
      <c r="O20" s="4"/>
      <c r="P20" s="4"/>
      <c r="Q20" s="4">
        <v>16.600000000000001</v>
      </c>
      <c r="R20" s="4">
        <v>24.7</v>
      </c>
      <c r="S20" s="4"/>
      <c r="T20" s="4"/>
      <c r="U20" s="4"/>
      <c r="V20" s="4"/>
      <c r="W20" s="4">
        <v>9</v>
      </c>
      <c r="X20" s="4">
        <v>12</v>
      </c>
      <c r="Y20" s="4">
        <v>38.549999999999997</v>
      </c>
      <c r="Z20" s="4">
        <v>15.5</v>
      </c>
      <c r="AA20" s="4">
        <v>27.4</v>
      </c>
      <c r="AB20" s="4"/>
      <c r="AC20" s="4"/>
      <c r="AD20" s="4">
        <v>73.5</v>
      </c>
      <c r="AE20" s="4">
        <v>26.6</v>
      </c>
      <c r="AF20" s="4"/>
      <c r="AG20" s="4"/>
      <c r="AH20" s="4"/>
    </row>
    <row r="21" spans="1:34" x14ac:dyDescent="0.2">
      <c r="A21" s="7">
        <f>SUM(D20:AH20)</f>
        <v>298.30000000000007</v>
      </c>
      <c r="B21" s="8">
        <f>SUM(D21:AH21)</f>
        <v>219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>
        <v>219</v>
      </c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-4.8000000000000043</v>
      </c>
      <c r="C22" s="3" t="s">
        <v>2</v>
      </c>
      <c r="D22" s="4">
        <v>7</v>
      </c>
      <c r="E22" s="4"/>
      <c r="F22" s="4"/>
      <c r="G22" s="4"/>
      <c r="H22" s="4"/>
      <c r="I22" s="4"/>
      <c r="J22" s="4">
        <v>13</v>
      </c>
      <c r="K22" s="4">
        <v>8.15</v>
      </c>
      <c r="L22" s="4"/>
      <c r="M22" s="4"/>
      <c r="N22" s="4"/>
      <c r="O22" s="4">
        <v>12</v>
      </c>
      <c r="P22" s="4">
        <v>6.8</v>
      </c>
      <c r="Q22" s="4">
        <v>8.8000000000000007</v>
      </c>
      <c r="R22" s="4"/>
      <c r="S22" s="4"/>
      <c r="T22" s="4"/>
      <c r="U22" s="4"/>
      <c r="V22" s="4">
        <v>6.5</v>
      </c>
      <c r="W22" s="4">
        <v>15.7</v>
      </c>
      <c r="X22" s="4"/>
      <c r="Y22" s="4"/>
      <c r="Z22" s="4"/>
      <c r="AA22" s="4"/>
      <c r="AB22" s="4">
        <v>16.05</v>
      </c>
      <c r="AC22" s="4"/>
      <c r="AD22" s="4">
        <v>6.6</v>
      </c>
      <c r="AE22" s="4"/>
      <c r="AF22" s="4">
        <v>4.4000000000000004</v>
      </c>
      <c r="AG22" s="4"/>
      <c r="AH22" s="4"/>
    </row>
    <row r="23" spans="1:34" x14ac:dyDescent="0.2">
      <c r="A23" s="7">
        <f>SUM(D22:AH22)</f>
        <v>105</v>
      </c>
      <c r="B23" s="8">
        <f>SUM(D23:AH23)</f>
        <v>109.8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>
        <v>109.8</v>
      </c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346.44</v>
      </c>
      <c r="C24" s="3" t="s">
        <v>2</v>
      </c>
      <c r="D24" s="4"/>
      <c r="E24" s="4">
        <v>7.2</v>
      </c>
      <c r="F24" s="4"/>
      <c r="G24" s="4">
        <v>10</v>
      </c>
      <c r="H24" s="20">
        <v>9</v>
      </c>
      <c r="I24" s="4"/>
      <c r="J24" s="4"/>
      <c r="K24" s="4"/>
      <c r="L24" s="4">
        <v>11.8</v>
      </c>
      <c r="M24" s="4">
        <v>29.2</v>
      </c>
      <c r="N24" s="4"/>
      <c r="O24" s="4"/>
      <c r="P24" s="4"/>
      <c r="Q24" s="4"/>
      <c r="R24" s="4">
        <v>24.2</v>
      </c>
      <c r="S24" s="4">
        <v>7.2</v>
      </c>
      <c r="T24" s="4">
        <v>52.8</v>
      </c>
      <c r="U24" s="4">
        <v>17.2</v>
      </c>
      <c r="V24" s="4">
        <v>47.79</v>
      </c>
      <c r="W24" s="4"/>
      <c r="X24" s="4"/>
      <c r="Y24" s="4">
        <v>28.5</v>
      </c>
      <c r="Z24" s="4"/>
      <c r="AA24" s="4">
        <v>8.25</v>
      </c>
      <c r="AB24" s="4">
        <v>7.8</v>
      </c>
      <c r="AC24" s="4">
        <v>35</v>
      </c>
      <c r="AD24" s="4"/>
      <c r="AE24" s="4"/>
      <c r="AF24" s="4"/>
      <c r="AG24" s="4">
        <v>50.5</v>
      </c>
      <c r="AH24" s="4"/>
    </row>
    <row r="25" spans="1:34" x14ac:dyDescent="0.2">
      <c r="A25" s="7">
        <f>SUM(D24:AH24)</f>
        <v>346.44</v>
      </c>
      <c r="B25" s="8">
        <f>SUM(D25:AH25)</f>
        <v>0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-366.47</v>
      </c>
      <c r="C26" s="3" t="s">
        <v>2</v>
      </c>
      <c r="D26" s="4">
        <v>24</v>
      </c>
      <c r="E26" s="4">
        <v>6.6</v>
      </c>
      <c r="F26" s="4">
        <v>10.3</v>
      </c>
      <c r="G26" s="4"/>
      <c r="H26" s="4"/>
      <c r="I26" s="4">
        <v>6.95</v>
      </c>
      <c r="J26" s="4"/>
      <c r="K26" s="4"/>
      <c r="L26" s="4"/>
      <c r="M26" s="4">
        <v>23</v>
      </c>
      <c r="N26" s="4"/>
      <c r="O26" s="4"/>
      <c r="P26" s="4">
        <v>8.6</v>
      </c>
      <c r="Q26" s="4"/>
      <c r="R26" s="4"/>
      <c r="S26" s="4">
        <v>55</v>
      </c>
      <c r="T26" s="4"/>
      <c r="U26" s="4"/>
      <c r="V26" s="4"/>
      <c r="W26" s="4">
        <v>5.6</v>
      </c>
      <c r="X26" s="4">
        <v>8.6</v>
      </c>
      <c r="Y26" s="4"/>
      <c r="Z26" s="4">
        <v>9.3000000000000007</v>
      </c>
      <c r="AA26" s="4">
        <v>11.2</v>
      </c>
      <c r="AB26" s="4"/>
      <c r="AC26" s="4"/>
      <c r="AD26" s="4">
        <v>21.2</v>
      </c>
      <c r="AE26" s="4">
        <v>40.799999999999997</v>
      </c>
      <c r="AF26" s="4">
        <v>22</v>
      </c>
      <c r="AG26" s="4"/>
      <c r="AH26" s="4"/>
    </row>
    <row r="27" spans="1:34" x14ac:dyDescent="0.2">
      <c r="A27" s="7">
        <f>SUM(D26:AH26)</f>
        <v>253.14999999999998</v>
      </c>
      <c r="B27" s="8">
        <f>SUM(D27:AH27)</f>
        <v>619.62</v>
      </c>
      <c r="C27" s="9" t="s">
        <v>3</v>
      </c>
      <c r="D27" s="10"/>
      <c r="E27" s="10"/>
      <c r="F27" s="10"/>
      <c r="G27" s="10"/>
      <c r="H27" s="12"/>
      <c r="I27" s="21"/>
      <c r="J27" s="10"/>
      <c r="K27" s="10"/>
      <c r="L27" s="10">
        <v>330</v>
      </c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>
        <v>289.62</v>
      </c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2180.9899999999998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1453.56</v>
      </c>
    </row>
    <row r="31" spans="1:34" x14ac:dyDescent="0.2">
      <c r="A31" s="1" t="s">
        <v>17</v>
      </c>
      <c r="B31" s="6">
        <f>B29-B30</f>
        <v>727.42999999999984</v>
      </c>
    </row>
    <row r="32" spans="1:34" x14ac:dyDescent="0.2">
      <c r="A32" s="1"/>
      <c r="B32" s="26"/>
    </row>
  </sheetData>
  <conditionalFormatting sqref="B31">
    <cfRule type="cellIs" dxfId="9" priority="1" stopIfTrue="1" operator="lessThanOrEqual">
      <formula>0</formula>
    </cfRule>
    <cfRule type="cellIs" dxfId="8" priority="2" stopIfTrue="1" operator="greaterThanOr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31"/>
  <sheetViews>
    <sheetView topLeftCell="A13" workbookViewId="0">
      <selection activeCell="H12" sqref="H12"/>
    </sheetView>
  </sheetViews>
  <sheetFormatPr defaultRowHeight="12.75" x14ac:dyDescent="0.2"/>
  <cols>
    <col min="1" max="1" width="10.85546875" style="1" bestFit="1" customWidth="1"/>
    <col min="2" max="2" width="8.42578125" style="2" bestFit="1" customWidth="1"/>
    <col min="3" max="3" width="2.140625" style="3" bestFit="1" customWidth="1"/>
    <col min="4" max="4" width="6.5703125" style="4" bestFit="1" customWidth="1"/>
    <col min="5" max="5" width="5.5703125" style="4" bestFit="1" customWidth="1"/>
    <col min="6" max="9" width="6.5703125" style="4" bestFit="1" customWidth="1"/>
    <col min="10" max="10" width="5.5703125" style="4" bestFit="1" customWidth="1"/>
    <col min="11" max="14" width="6.5703125" style="4" bestFit="1" customWidth="1"/>
    <col min="15" max="15" width="5.5703125" style="4" bestFit="1" customWidth="1"/>
    <col min="16" max="19" width="6.5703125" style="4" bestFit="1" customWidth="1"/>
    <col min="20" max="21" width="5.5703125" style="4" bestFit="1" customWidth="1"/>
    <col min="22" max="27" width="6.5703125" style="4" bestFit="1" customWidth="1"/>
    <col min="28" max="28" width="5.5703125" style="4" bestFit="1" customWidth="1"/>
    <col min="29" max="30" width="6.5703125" style="4" bestFit="1" customWidth="1"/>
    <col min="31" max="31" width="5.5703125" style="4" bestFit="1" customWidth="1"/>
    <col min="32" max="33" width="6.5703125" style="4" bestFit="1" customWidth="1"/>
    <col min="34" max="34" width="5.5703125" style="4" bestFit="1" customWidth="1"/>
    <col min="35" max="16384" width="9.140625" style="5"/>
  </cols>
  <sheetData>
    <row r="2" spans="1:34" s="1" customFormat="1" x14ac:dyDescent="0.2">
      <c r="A2" s="1">
        <v>2005</v>
      </c>
      <c r="B2" s="1" t="s">
        <v>0</v>
      </c>
      <c r="D2" s="1">
        <v>1</v>
      </c>
      <c r="E2" s="1">
        <f t="shared" ref="E2:AH2" si="0">D2+1</f>
        <v>2</v>
      </c>
      <c r="F2" s="1">
        <f t="shared" si="0"/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4" spans="1:34" x14ac:dyDescent="0.2">
      <c r="A4" s="1" t="s">
        <v>1</v>
      </c>
      <c r="B4" s="6">
        <f t="array" ref="B4">SUM(D4:AH4-D5:AH5)</f>
        <v>-220</v>
      </c>
      <c r="C4" s="3" t="s">
        <v>2</v>
      </c>
      <c r="F4" s="4">
        <v>17.600000000000001</v>
      </c>
      <c r="G4" s="4">
        <v>28.2</v>
      </c>
      <c r="H4" s="4">
        <v>49.8</v>
      </c>
      <c r="J4" s="4">
        <v>24</v>
      </c>
      <c r="K4" s="4">
        <v>81.099999999999994</v>
      </c>
      <c r="M4" s="4">
        <v>25.7</v>
      </c>
      <c r="N4" s="4">
        <v>30</v>
      </c>
      <c r="O4" s="4">
        <v>13.5</v>
      </c>
      <c r="P4" s="4">
        <v>44.7</v>
      </c>
      <c r="Q4" s="4">
        <v>22.4</v>
      </c>
      <c r="R4" s="4">
        <v>32.5</v>
      </c>
      <c r="T4" s="4">
        <v>18</v>
      </c>
      <c r="U4" s="4">
        <v>34.6</v>
      </c>
      <c r="V4" s="4">
        <v>20</v>
      </c>
      <c r="W4" s="4">
        <v>22.7</v>
      </c>
      <c r="X4" s="4">
        <v>26.6</v>
      </c>
      <c r="Y4" s="4">
        <v>37.799999999999997</v>
      </c>
      <c r="AA4" s="4">
        <v>18.399999999999999</v>
      </c>
      <c r="AB4" s="4">
        <v>20.8</v>
      </c>
      <c r="AC4" s="4">
        <v>60.5</v>
      </c>
      <c r="AD4" s="4">
        <v>50.1</v>
      </c>
      <c r="AE4" s="4">
        <v>36.799999999999997</v>
      </c>
      <c r="AF4" s="4">
        <v>20</v>
      </c>
      <c r="AH4" s="4">
        <v>15</v>
      </c>
    </row>
    <row r="5" spans="1:34" s="12" customFormat="1" x14ac:dyDescent="0.2">
      <c r="A5" s="7">
        <f>SUM(D4:AH4)</f>
        <v>750.79999999999984</v>
      </c>
      <c r="B5" s="8">
        <f>SUM(D5:AH5)</f>
        <v>970.79999999999984</v>
      </c>
      <c r="C5" s="9" t="s">
        <v>3</v>
      </c>
      <c r="D5" s="10"/>
      <c r="E5" s="10"/>
      <c r="F5" s="11">
        <f>158.26+20.4</f>
        <v>178.66</v>
      </c>
      <c r="G5" s="10"/>
      <c r="H5" s="10">
        <f>184.21+41.04+22.49</f>
        <v>247.74</v>
      </c>
      <c r="I5" s="10"/>
      <c r="J5" s="10"/>
      <c r="K5" s="10"/>
      <c r="M5" s="10">
        <f>205.2+31.01</f>
        <v>236.20999999999998</v>
      </c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>
        <f>165.9+133.39+8.9</f>
        <v>308.18999999999994</v>
      </c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425.58000000000004</v>
      </c>
      <c r="C6" s="3" t="s">
        <v>2</v>
      </c>
      <c r="D6" s="4">
        <v>32.9</v>
      </c>
      <c r="E6" s="4">
        <v>31.8</v>
      </c>
      <c r="F6" s="4">
        <v>12</v>
      </c>
      <c r="G6" s="4">
        <v>21.1</v>
      </c>
      <c r="H6" s="4">
        <v>36.6</v>
      </c>
      <c r="J6" s="4">
        <v>15</v>
      </c>
      <c r="K6" s="4">
        <v>33.799999999999997</v>
      </c>
      <c r="L6" s="4">
        <v>49.2</v>
      </c>
      <c r="M6" s="4">
        <v>30.6</v>
      </c>
      <c r="N6" s="4">
        <v>46.35</v>
      </c>
      <c r="O6" s="4">
        <v>41.4</v>
      </c>
      <c r="Q6" s="4">
        <v>12.5</v>
      </c>
      <c r="R6" s="4">
        <v>38</v>
      </c>
      <c r="S6" s="4">
        <v>22</v>
      </c>
      <c r="T6" s="4">
        <v>22.8</v>
      </c>
      <c r="U6" s="4">
        <v>13.2</v>
      </c>
      <c r="V6" s="4">
        <v>28.8</v>
      </c>
      <c r="X6" s="4">
        <v>12.5</v>
      </c>
      <c r="Y6" s="4">
        <v>22.2</v>
      </c>
      <c r="Z6" s="4">
        <v>20.8</v>
      </c>
      <c r="AA6" s="4">
        <v>25</v>
      </c>
      <c r="AB6" s="4">
        <v>13.8</v>
      </c>
      <c r="AC6" s="4">
        <v>43.1</v>
      </c>
      <c r="AE6" s="4">
        <v>26</v>
      </c>
    </row>
    <row r="7" spans="1:34" s="12" customFormat="1" x14ac:dyDescent="0.2">
      <c r="A7" s="7">
        <f>SUM(D6:AH6)</f>
        <v>651.44999999999993</v>
      </c>
      <c r="B7" s="8">
        <f>SUM(D7:AH7)</f>
        <v>225.87</v>
      </c>
      <c r="C7" s="9" t="s">
        <v>3</v>
      </c>
      <c r="D7" s="10"/>
      <c r="E7" s="10"/>
      <c r="F7" s="10"/>
      <c r="G7" s="10"/>
      <c r="H7" s="13"/>
      <c r="I7" s="10"/>
      <c r="J7" s="10"/>
      <c r="K7" s="10">
        <v>116.32</v>
      </c>
      <c r="L7" s="10"/>
      <c r="M7" s="10"/>
      <c r="N7" s="10"/>
      <c r="O7" s="10"/>
      <c r="P7" s="10"/>
      <c r="Q7" s="10"/>
      <c r="R7" s="10"/>
      <c r="S7" s="11">
        <v>109.55</v>
      </c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160.32</v>
      </c>
      <c r="C8" s="3" t="s">
        <v>2</v>
      </c>
      <c r="D8" s="4">
        <v>57.25</v>
      </c>
      <c r="E8" s="4">
        <v>20</v>
      </c>
      <c r="F8" s="4">
        <v>10</v>
      </c>
      <c r="G8" s="4">
        <v>15.2</v>
      </c>
      <c r="H8" s="4">
        <v>34.200000000000003</v>
      </c>
      <c r="J8" s="4">
        <v>13</v>
      </c>
      <c r="K8" s="4">
        <v>52.1</v>
      </c>
      <c r="L8" s="4">
        <v>25.5</v>
      </c>
      <c r="M8" s="4">
        <v>24.3</v>
      </c>
      <c r="N8" s="4">
        <v>18</v>
      </c>
      <c r="O8" s="4">
        <v>66.150000000000006</v>
      </c>
      <c r="Q8" s="4">
        <v>12</v>
      </c>
      <c r="R8" s="4">
        <v>37.5</v>
      </c>
      <c r="S8" s="4">
        <v>22.15</v>
      </c>
      <c r="T8" s="4">
        <v>40.6</v>
      </c>
      <c r="U8" s="4">
        <v>79.7</v>
      </c>
      <c r="V8" s="4">
        <v>47.6</v>
      </c>
      <c r="X8" s="4">
        <v>16.3</v>
      </c>
      <c r="Y8" s="4">
        <v>24</v>
      </c>
      <c r="Z8" s="4">
        <v>37.6</v>
      </c>
      <c r="AA8" s="4">
        <v>60</v>
      </c>
      <c r="AB8" s="4">
        <v>35</v>
      </c>
      <c r="AC8" s="4">
        <v>40.6</v>
      </c>
      <c r="AF8" s="4">
        <v>41.45</v>
      </c>
      <c r="AG8" s="4">
        <v>12.5</v>
      </c>
      <c r="AH8" s="4">
        <v>48.6</v>
      </c>
    </row>
    <row r="9" spans="1:34" s="12" customFormat="1" x14ac:dyDescent="0.2">
      <c r="A9" s="7">
        <f>SUM(D8:AH8)</f>
        <v>891.30000000000018</v>
      </c>
      <c r="B9" s="8">
        <f>SUM(D9:AH9)</f>
        <v>730.98</v>
      </c>
      <c r="C9" s="9" t="s">
        <v>3</v>
      </c>
      <c r="D9" s="10"/>
      <c r="E9" s="10"/>
      <c r="F9" s="10"/>
      <c r="G9" s="10"/>
      <c r="H9" s="10"/>
      <c r="I9" s="10">
        <v>154.02000000000001</v>
      </c>
      <c r="J9" s="10"/>
      <c r="K9" s="10"/>
      <c r="L9" s="10"/>
      <c r="M9" s="11">
        <v>102</v>
      </c>
      <c r="N9" s="10"/>
      <c r="O9" s="10"/>
      <c r="P9" s="10"/>
      <c r="Q9" s="10"/>
      <c r="R9" s="14">
        <v>181</v>
      </c>
      <c r="S9" s="11">
        <v>130</v>
      </c>
      <c r="T9" s="10"/>
      <c r="U9" s="10"/>
      <c r="V9" s="10"/>
      <c r="W9" s="10"/>
      <c r="X9" s="10">
        <v>163.96</v>
      </c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2.3200000000000287</v>
      </c>
      <c r="C10" s="3" t="s">
        <v>2</v>
      </c>
      <c r="D10" s="4">
        <v>78</v>
      </c>
      <c r="E10" s="4">
        <v>38.4</v>
      </c>
      <c r="G10" s="4">
        <v>20.3</v>
      </c>
      <c r="H10" s="4">
        <v>79.55</v>
      </c>
      <c r="I10" s="4">
        <v>26.8</v>
      </c>
      <c r="J10" s="4">
        <v>73</v>
      </c>
      <c r="K10" s="4">
        <v>29.1</v>
      </c>
      <c r="L10" s="4">
        <v>64.5</v>
      </c>
      <c r="N10" s="4">
        <v>86.4</v>
      </c>
      <c r="O10" s="4">
        <v>35</v>
      </c>
      <c r="P10" s="4">
        <v>29.9</v>
      </c>
      <c r="Q10" s="4">
        <v>73.150000000000006</v>
      </c>
      <c r="R10" s="4">
        <v>41.1</v>
      </c>
      <c r="S10" s="4">
        <v>57.3</v>
      </c>
      <c r="U10" s="4">
        <v>21</v>
      </c>
      <c r="V10" s="4">
        <v>39.1</v>
      </c>
      <c r="W10" s="4">
        <v>25.1</v>
      </c>
      <c r="X10" s="4">
        <v>48.3</v>
      </c>
      <c r="Y10" s="4">
        <v>48.65</v>
      </c>
      <c r="Z10" s="4">
        <v>44.5</v>
      </c>
      <c r="AC10" s="4">
        <v>51.8</v>
      </c>
      <c r="AD10" s="4">
        <v>45.8</v>
      </c>
      <c r="AE10" s="4">
        <v>35.700000000000003</v>
      </c>
      <c r="AF10" s="4">
        <v>105.3</v>
      </c>
      <c r="AG10" s="4">
        <v>42.9</v>
      </c>
    </row>
    <row r="11" spans="1:34" s="12" customFormat="1" x14ac:dyDescent="0.2">
      <c r="A11" s="7">
        <f>SUM(D10:AH10)</f>
        <v>1240.6500000000001</v>
      </c>
      <c r="B11" s="8">
        <f>SUM(D11:AH11)</f>
        <v>1238.33</v>
      </c>
      <c r="C11" s="9" t="s">
        <v>3</v>
      </c>
      <c r="D11" s="11">
        <v>148</v>
      </c>
      <c r="E11" s="10"/>
      <c r="F11" s="10"/>
      <c r="G11" s="10">
        <f>205.7+93.12+52</f>
        <v>350.82</v>
      </c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>
        <f>180.4+80.53+46</f>
        <v>306.93</v>
      </c>
      <c r="S11" s="10"/>
      <c r="T11" s="10"/>
      <c r="U11" s="10"/>
      <c r="V11" s="11">
        <v>140</v>
      </c>
      <c r="W11" s="10"/>
      <c r="X11" s="10"/>
      <c r="Y11" s="10"/>
      <c r="Z11" s="10"/>
      <c r="AA11" s="10"/>
      <c r="AB11" s="10"/>
      <c r="AC11" s="10">
        <f>126+84.58</f>
        <v>210.57999999999998</v>
      </c>
      <c r="AD11" s="10"/>
      <c r="AE11" s="10"/>
      <c r="AF11" s="11">
        <v>82</v>
      </c>
      <c r="AG11" s="10"/>
      <c r="AH11" s="10"/>
    </row>
    <row r="12" spans="1:34" x14ac:dyDescent="0.2">
      <c r="A12" s="1" t="s">
        <v>7</v>
      </c>
      <c r="B12" s="6">
        <f t="array" ref="B12">SUM(D12:AH12-D13:AH13)</f>
        <v>198.66000000000008</v>
      </c>
      <c r="C12" s="3" t="s">
        <v>2</v>
      </c>
      <c r="E12" s="4">
        <v>39.700000000000003</v>
      </c>
      <c r="F12" s="4">
        <v>32.75</v>
      </c>
      <c r="G12" s="4">
        <v>87.5</v>
      </c>
      <c r="H12" s="4">
        <v>34.6</v>
      </c>
      <c r="I12" s="4">
        <v>46.6</v>
      </c>
      <c r="J12" s="4">
        <v>62.3</v>
      </c>
      <c r="L12" s="4">
        <v>64.2</v>
      </c>
      <c r="M12" s="4">
        <v>46.4</v>
      </c>
      <c r="N12" s="4">
        <v>32.6</v>
      </c>
      <c r="O12" s="4">
        <v>41</v>
      </c>
      <c r="P12" s="4">
        <v>33.9</v>
      </c>
      <c r="Q12" s="4">
        <v>22.1</v>
      </c>
      <c r="S12" s="4">
        <v>10</v>
      </c>
      <c r="T12" s="4">
        <v>24.35</v>
      </c>
      <c r="U12" s="4">
        <v>27.5</v>
      </c>
      <c r="V12" s="4">
        <v>22.5</v>
      </c>
      <c r="W12" s="4">
        <v>32.5</v>
      </c>
      <c r="X12" s="4">
        <v>28.6</v>
      </c>
      <c r="Z12" s="4">
        <v>12</v>
      </c>
      <c r="AA12" s="4">
        <v>43.3</v>
      </c>
      <c r="AB12" s="4">
        <v>39</v>
      </c>
      <c r="AC12" s="4">
        <v>32.700000000000003</v>
      </c>
      <c r="AD12" s="4">
        <v>45.6</v>
      </c>
      <c r="AE12" s="4">
        <v>45.4</v>
      </c>
      <c r="AG12" s="4">
        <v>18.399999999999999</v>
      </c>
      <c r="AH12" s="4">
        <v>21</v>
      </c>
    </row>
    <row r="13" spans="1:34" s="12" customFormat="1" x14ac:dyDescent="0.2">
      <c r="A13" s="7">
        <f>SUM(D12:AH12)</f>
        <v>946.5</v>
      </c>
      <c r="B13" s="8">
        <f>SUM(D13:AH13)</f>
        <v>747.83999999999992</v>
      </c>
      <c r="C13" s="9" t="s">
        <v>3</v>
      </c>
      <c r="D13" s="10"/>
      <c r="E13" s="10"/>
      <c r="F13" s="10"/>
      <c r="G13" s="10"/>
      <c r="H13" s="10"/>
      <c r="I13" s="10">
        <f>77.95+117.94+37.78+60.18</f>
        <v>293.84999999999997</v>
      </c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>
        <v>123</v>
      </c>
      <c r="AA13" s="10"/>
      <c r="AB13" s="10"/>
      <c r="AC13" s="10"/>
      <c r="AD13" s="10">
        <f>150.43-7.4+88.75-8.75+107.96</f>
        <v>330.99</v>
      </c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555.66000000000008</v>
      </c>
      <c r="C14" s="3" t="s">
        <v>2</v>
      </c>
      <c r="D14" s="4">
        <v>90.6</v>
      </c>
      <c r="F14" s="4">
        <v>119.95</v>
      </c>
      <c r="G14" s="4">
        <v>81.3</v>
      </c>
      <c r="I14" s="4">
        <v>15.8</v>
      </c>
      <c r="J14" s="4">
        <v>37.6</v>
      </c>
      <c r="K14" s="4">
        <v>29</v>
      </c>
      <c r="L14" s="4">
        <v>28.45</v>
      </c>
      <c r="M14" s="4">
        <v>23.2</v>
      </c>
      <c r="N14" s="4">
        <v>60.2</v>
      </c>
      <c r="P14" s="4">
        <v>29.4</v>
      </c>
      <c r="Q14" s="4">
        <v>52</v>
      </c>
      <c r="R14" s="4">
        <v>30.2</v>
      </c>
      <c r="S14" s="4">
        <v>28.7</v>
      </c>
      <c r="T14" s="4">
        <v>18.600000000000001</v>
      </c>
      <c r="U14" s="4">
        <v>30.5</v>
      </c>
      <c r="W14" s="4">
        <v>15</v>
      </c>
      <c r="X14" s="4">
        <v>18.600000000000001</v>
      </c>
      <c r="Y14" s="4">
        <v>24.6</v>
      </c>
      <c r="Z14" s="4">
        <v>30</v>
      </c>
      <c r="AA14" s="4">
        <v>15</v>
      </c>
      <c r="AB14" s="4">
        <v>33</v>
      </c>
      <c r="AD14" s="4">
        <v>14.6</v>
      </c>
      <c r="AE14" s="4">
        <v>20.5</v>
      </c>
      <c r="AF14" s="4">
        <v>17</v>
      </c>
      <c r="AG14" s="4">
        <v>39.5</v>
      </c>
    </row>
    <row r="15" spans="1:34" s="12" customFormat="1" x14ac:dyDescent="0.2">
      <c r="A15" s="7">
        <f>SUM(D14:AH14)</f>
        <v>903.30000000000018</v>
      </c>
      <c r="B15" s="8">
        <f>SUM(D15:AH15)</f>
        <v>347.64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>
        <f>172.7+127.25+47.69</f>
        <v>347.64</v>
      </c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85.369999999999976</v>
      </c>
      <c r="C16" s="3" t="s">
        <v>2</v>
      </c>
      <c r="D16" s="4">
        <v>15.5</v>
      </c>
      <c r="E16" s="4">
        <v>37.6</v>
      </c>
      <c r="H16" s="4">
        <v>30</v>
      </c>
      <c r="I16" s="4">
        <v>23.5</v>
      </c>
      <c r="J16" s="4">
        <v>70.099999999999994</v>
      </c>
      <c r="K16" s="4">
        <v>29.1</v>
      </c>
      <c r="L16" s="4">
        <v>21</v>
      </c>
      <c r="N16" s="4">
        <v>53</v>
      </c>
      <c r="O16" s="4">
        <v>20.8</v>
      </c>
      <c r="P16" s="4">
        <v>84.9</v>
      </c>
      <c r="Q16" s="4">
        <v>22.7</v>
      </c>
      <c r="R16" s="4">
        <v>14</v>
      </c>
      <c r="S16" s="4">
        <v>49.1</v>
      </c>
      <c r="U16" s="4">
        <v>45</v>
      </c>
      <c r="V16" s="4">
        <v>19.600000000000001</v>
      </c>
      <c r="W16" s="4">
        <v>77</v>
      </c>
      <c r="X16" s="4">
        <v>16.45</v>
      </c>
      <c r="Y16" s="4">
        <v>10</v>
      </c>
      <c r="Z16" s="4">
        <v>42.6</v>
      </c>
      <c r="AB16" s="4">
        <v>19.2</v>
      </c>
      <c r="AC16" s="4">
        <v>15.6</v>
      </c>
      <c r="AD16" s="4">
        <v>16.899999999999999</v>
      </c>
      <c r="AE16" s="4">
        <v>15.4</v>
      </c>
      <c r="AF16" s="4">
        <v>17.600000000000001</v>
      </c>
      <c r="AG16" s="4">
        <v>30</v>
      </c>
    </row>
    <row r="17" spans="1:34" s="12" customFormat="1" x14ac:dyDescent="0.2">
      <c r="A17" s="7">
        <f>SUM(D16:AH16)</f>
        <v>796.65000000000009</v>
      </c>
      <c r="B17" s="8">
        <f>SUM(D17:AH17)</f>
        <v>711.28</v>
      </c>
      <c r="C17" s="9" t="s">
        <v>3</v>
      </c>
      <c r="D17" s="10"/>
      <c r="E17" s="10"/>
      <c r="F17" s="10"/>
      <c r="G17" s="10">
        <f>76.88+53</f>
        <v>129.88</v>
      </c>
      <c r="H17" s="10"/>
      <c r="I17" s="10"/>
      <c r="J17" s="10"/>
      <c r="K17" s="10"/>
      <c r="L17" s="10"/>
      <c r="M17" s="10"/>
      <c r="N17" s="11">
        <v>120</v>
      </c>
      <c r="O17" s="10"/>
      <c r="P17" s="10"/>
      <c r="Q17" s="10"/>
      <c r="R17" s="10">
        <f>156.34+105.56+32.47</f>
        <v>294.37</v>
      </c>
      <c r="S17" s="10"/>
      <c r="T17" s="10"/>
      <c r="U17" s="10"/>
      <c r="V17" s="10"/>
      <c r="W17" s="10"/>
      <c r="X17" s="10"/>
      <c r="Y17" s="10">
        <f>92.41+74.62</f>
        <v>167.03</v>
      </c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0</v>
      </c>
      <c r="C18" s="3" t="s">
        <v>2</v>
      </c>
    </row>
    <row r="19" spans="1:34" s="12" customFormat="1" x14ac:dyDescent="0.2">
      <c r="A19" s="7">
        <f>SUM(D18:AH18)</f>
        <v>0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213.23000000000002</v>
      </c>
      <c r="C20" s="3" t="s">
        <v>2</v>
      </c>
      <c r="I20" s="4">
        <v>14.8</v>
      </c>
      <c r="J20" s="4">
        <v>78</v>
      </c>
      <c r="L20" s="4">
        <v>20.3</v>
      </c>
      <c r="M20" s="4">
        <v>10.8</v>
      </c>
      <c r="O20" s="4">
        <v>16.850000000000001</v>
      </c>
      <c r="P20" s="4">
        <v>33.200000000000003</v>
      </c>
      <c r="Q20" s="4">
        <v>25.75</v>
      </c>
      <c r="R20" s="4">
        <v>34.700000000000003</v>
      </c>
      <c r="S20" s="4">
        <v>21.7</v>
      </c>
      <c r="T20" s="4">
        <v>25.5</v>
      </c>
      <c r="V20" s="4">
        <v>11.7</v>
      </c>
      <c r="W20" s="4">
        <v>47</v>
      </c>
      <c r="X20" s="4">
        <v>15.8</v>
      </c>
      <c r="Y20" s="4">
        <v>33</v>
      </c>
      <c r="Z20" s="4">
        <v>12.1</v>
      </c>
      <c r="AA20" s="4">
        <v>33.200000000000003</v>
      </c>
      <c r="AC20" s="4">
        <v>10</v>
      </c>
      <c r="AD20" s="4">
        <v>60</v>
      </c>
      <c r="AE20" s="4">
        <v>11.9</v>
      </c>
      <c r="AF20" s="4">
        <v>13.4</v>
      </c>
      <c r="AG20" s="4">
        <v>12.8</v>
      </c>
    </row>
    <row r="21" spans="1:34" s="12" customFormat="1" x14ac:dyDescent="0.2">
      <c r="A21" s="7">
        <f>SUM(D20:AH20)</f>
        <v>542.49999999999989</v>
      </c>
      <c r="B21" s="8">
        <f>SUM(D21:AH21)</f>
        <v>329.27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W21" s="10"/>
      <c r="X21" s="10"/>
      <c r="Y21" s="10"/>
      <c r="Z21" s="10"/>
      <c r="AA21" s="10"/>
      <c r="AB21" s="10"/>
      <c r="AC21" s="10"/>
      <c r="AD21" s="10">
        <f>185.26+103.81+40.2</f>
        <v>329.27</v>
      </c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441.08</v>
      </c>
      <c r="C22" s="3" t="s">
        <v>2</v>
      </c>
      <c r="D22" s="4">
        <v>129.05000000000001</v>
      </c>
      <c r="G22" s="4">
        <v>20.45</v>
      </c>
      <c r="H22" s="4">
        <v>22.6</v>
      </c>
      <c r="I22" s="4">
        <v>22.6</v>
      </c>
      <c r="J22" s="4">
        <v>12.9</v>
      </c>
      <c r="K22" s="4">
        <v>30.2</v>
      </c>
      <c r="M22" s="4">
        <v>13.55</v>
      </c>
      <c r="N22" s="4">
        <v>19.5</v>
      </c>
      <c r="O22" s="4">
        <v>25.05</v>
      </c>
      <c r="P22" s="4">
        <v>42.8</v>
      </c>
      <c r="Q22" s="4">
        <v>42.6</v>
      </c>
      <c r="R22" s="4">
        <v>47.95</v>
      </c>
      <c r="T22" s="4">
        <v>16.3</v>
      </c>
      <c r="U22" s="4">
        <v>41.4</v>
      </c>
      <c r="V22" s="4">
        <v>36.799999999999997</v>
      </c>
      <c r="W22" s="4">
        <v>69.7</v>
      </c>
      <c r="X22" s="4">
        <v>81.55</v>
      </c>
      <c r="Y22" s="4">
        <v>54.2</v>
      </c>
      <c r="AA22" s="4">
        <v>12.5</v>
      </c>
      <c r="AB22" s="4">
        <v>25.2</v>
      </c>
      <c r="AC22" s="4">
        <v>29.9</v>
      </c>
      <c r="AD22" s="4">
        <v>21.4</v>
      </c>
      <c r="AE22" s="4">
        <v>50</v>
      </c>
      <c r="AF22" s="4">
        <v>31.1</v>
      </c>
      <c r="AG22" s="4">
        <v>14.1</v>
      </c>
    </row>
    <row r="23" spans="1:34" s="12" customFormat="1" x14ac:dyDescent="0.2">
      <c r="A23" s="7">
        <f>SUM(D22:AH22)</f>
        <v>913.40000000000009</v>
      </c>
      <c r="B23" s="8">
        <f>SUM(D23:AH23)</f>
        <v>472.32</v>
      </c>
      <c r="C23" s="9" t="s">
        <v>3</v>
      </c>
      <c r="D23" s="10"/>
      <c r="E23" s="10"/>
      <c r="F23" s="10"/>
      <c r="G23" s="10"/>
      <c r="I23" s="15"/>
      <c r="J23" s="10"/>
      <c r="K23" s="10"/>
      <c r="L23" s="10"/>
      <c r="M23" s="10"/>
      <c r="N23" s="10">
        <v>100</v>
      </c>
      <c r="O23" s="10"/>
      <c r="P23" s="10"/>
      <c r="Q23" s="11">
        <v>126</v>
      </c>
      <c r="R23" s="10"/>
      <c r="S23" s="10"/>
      <c r="T23" s="10"/>
      <c r="U23" s="10"/>
      <c r="V23" s="10"/>
      <c r="W23" s="10">
        <f>126.94+119.38</f>
        <v>246.32</v>
      </c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246.73000000000008</v>
      </c>
      <c r="C24" s="3" t="s">
        <v>2</v>
      </c>
      <c r="E24" s="4">
        <v>54.3</v>
      </c>
      <c r="F24" s="4">
        <v>25.1</v>
      </c>
      <c r="G24" s="4">
        <v>75.2</v>
      </c>
      <c r="H24" s="4">
        <v>42.7</v>
      </c>
      <c r="J24" s="4">
        <v>19.3</v>
      </c>
      <c r="K24" s="4">
        <v>64.599999999999994</v>
      </c>
      <c r="L24" s="4">
        <v>22.5</v>
      </c>
      <c r="M24" s="4">
        <v>14.9</v>
      </c>
      <c r="N24" s="4">
        <v>25.1</v>
      </c>
      <c r="O24" s="4">
        <v>42.6</v>
      </c>
      <c r="Q24" s="4">
        <v>15</v>
      </c>
      <c r="R24" s="4">
        <v>45.65</v>
      </c>
      <c r="S24" s="4">
        <v>18.3</v>
      </c>
      <c r="T24" s="4">
        <v>25.4</v>
      </c>
      <c r="U24" s="4">
        <v>40.75</v>
      </c>
      <c r="V24" s="4">
        <v>59</v>
      </c>
      <c r="X24" s="4">
        <v>13.6</v>
      </c>
      <c r="Y24" s="4">
        <v>17.600000000000001</v>
      </c>
      <c r="Z24" s="4">
        <v>10.1</v>
      </c>
      <c r="AA24" s="4">
        <v>48.2</v>
      </c>
      <c r="AB24" s="4">
        <v>40</v>
      </c>
      <c r="AC24" s="4">
        <v>23.6</v>
      </c>
      <c r="AE24" s="4">
        <v>20.399999999999999</v>
      </c>
      <c r="AF24" s="4">
        <v>56.2</v>
      </c>
      <c r="AG24" s="4">
        <v>30.7</v>
      </c>
    </row>
    <row r="25" spans="1:34" s="12" customFormat="1" x14ac:dyDescent="0.2">
      <c r="A25" s="7">
        <f>SUM(D24:AH24)</f>
        <v>850.8000000000003</v>
      </c>
      <c r="B25" s="8">
        <f>SUM(D25:AH25)</f>
        <v>604.06999999999994</v>
      </c>
      <c r="C25" s="9" t="s">
        <v>3</v>
      </c>
      <c r="D25" s="10"/>
      <c r="E25" s="10"/>
      <c r="F25" s="10"/>
      <c r="G25" s="10">
        <f>106.19+171.07+15.95</f>
        <v>293.20999999999998</v>
      </c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>
        <f>191.34+127.02-7.5</f>
        <v>310.86</v>
      </c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166.04</v>
      </c>
      <c r="C26" s="3" t="s">
        <v>2</v>
      </c>
      <c r="D26" s="4">
        <v>17.600000000000001</v>
      </c>
      <c r="E26" s="4">
        <v>24.1</v>
      </c>
      <c r="F26" s="4">
        <v>26.5</v>
      </c>
      <c r="H26" s="4">
        <v>19.399999999999999</v>
      </c>
      <c r="I26" s="4">
        <v>17.399999999999999</v>
      </c>
      <c r="J26" s="4">
        <v>22.8</v>
      </c>
      <c r="L26" s="4">
        <v>31</v>
      </c>
      <c r="M26" s="4">
        <v>78.7</v>
      </c>
      <c r="O26" s="4">
        <v>51.85</v>
      </c>
      <c r="P26" s="4">
        <v>76.150000000000006</v>
      </c>
      <c r="Q26" s="4">
        <v>24.9</v>
      </c>
      <c r="R26" s="4">
        <v>33.299999999999997</v>
      </c>
      <c r="S26" s="4">
        <v>12</v>
      </c>
      <c r="T26" s="4">
        <v>37.4</v>
      </c>
      <c r="V26" s="4">
        <v>51.2</v>
      </c>
      <c r="W26" s="4">
        <v>20.65</v>
      </c>
      <c r="X26" s="4">
        <v>37.200000000000003</v>
      </c>
      <c r="Y26" s="4">
        <v>48.2</v>
      </c>
      <c r="Z26" s="4">
        <v>34.1</v>
      </c>
      <c r="AA26" s="4">
        <v>28</v>
      </c>
      <c r="AD26" s="4">
        <v>32.200000000000003</v>
      </c>
      <c r="AE26" s="4">
        <v>27.2</v>
      </c>
      <c r="AF26" s="4">
        <v>95</v>
      </c>
      <c r="AG26" s="4">
        <v>44.3</v>
      </c>
      <c r="AH26" s="4">
        <v>44.9</v>
      </c>
    </row>
    <row r="27" spans="1:34" s="12" customFormat="1" x14ac:dyDescent="0.2">
      <c r="A27" s="7">
        <f>SUM(D26:AH26)</f>
        <v>936.05000000000007</v>
      </c>
      <c r="B27" s="8">
        <f>SUM(D27:AH27)</f>
        <v>770.01</v>
      </c>
      <c r="C27" s="9" t="s">
        <v>3</v>
      </c>
      <c r="D27" s="10"/>
      <c r="E27" s="10"/>
      <c r="F27" s="10"/>
      <c r="G27" s="10"/>
      <c r="I27" s="11">
        <v>116</v>
      </c>
      <c r="J27" s="10"/>
      <c r="K27" s="10"/>
      <c r="L27" s="10">
        <f>170.59+195.78</f>
        <v>366.37</v>
      </c>
      <c r="M27" s="10"/>
      <c r="N27" s="10"/>
      <c r="O27" s="10"/>
      <c r="P27" s="10"/>
      <c r="Q27" s="10"/>
      <c r="R27" s="10"/>
      <c r="S27" s="11">
        <v>118</v>
      </c>
      <c r="T27" s="10"/>
      <c r="U27" s="10"/>
      <c r="V27" s="10"/>
      <c r="W27" s="10"/>
      <c r="X27" s="10"/>
      <c r="Y27" s="10"/>
      <c r="Z27" s="10">
        <f>81.36+88.28</f>
        <v>169.64</v>
      </c>
      <c r="AA27" s="10"/>
      <c r="AB27" s="10"/>
      <c r="AC27" s="10"/>
      <c r="AD27" s="10"/>
      <c r="AE27" s="10"/>
      <c r="AF27" s="10"/>
      <c r="AG27" s="10"/>
      <c r="AH27" s="10"/>
    </row>
    <row r="28" spans="1:34" s="3" customFormat="1" x14ac:dyDescent="0.2">
      <c r="A28" s="1"/>
      <c r="B28" s="1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9423.4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7148.41</v>
      </c>
    </row>
    <row r="31" spans="1:34" x14ac:dyDescent="0.2">
      <c r="A31" s="1" t="s">
        <v>17</v>
      </c>
      <c r="B31" s="6">
        <f>B29-B30</f>
        <v>2274.9899999999998</v>
      </c>
    </row>
  </sheetData>
  <conditionalFormatting sqref="B31">
    <cfRule type="cellIs" dxfId="43" priority="1" stopIfTrue="1" operator="lessThanOrEqual">
      <formula>0</formula>
    </cfRule>
    <cfRule type="cellIs" dxfId="42" priority="2" stopIfTrue="1" operator="greaterThanOrEqual">
      <formula>0</formula>
    </cfRule>
  </conditionalFormatting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2"/>
  <sheetViews>
    <sheetView zoomScale="90" zoomScaleNormal="90" workbookViewId="0">
      <selection activeCell="T19" sqref="T19"/>
    </sheetView>
  </sheetViews>
  <sheetFormatPr defaultRowHeight="12.75" x14ac:dyDescent="0.2"/>
  <cols>
    <col min="1" max="1" width="11.42578125" bestFit="1" customWidth="1"/>
    <col min="2" max="2" width="9.28515625" bestFit="1" customWidth="1"/>
    <col min="3" max="3" width="2.42578125" bestFit="1" customWidth="1"/>
    <col min="4" max="7" width="6.140625" bestFit="1" customWidth="1"/>
    <col min="8" max="8" width="7.28515625" bestFit="1" customWidth="1"/>
    <col min="9" max="11" width="6.140625" bestFit="1" customWidth="1"/>
    <col min="12" max="12" width="7.28515625" bestFit="1" customWidth="1"/>
    <col min="13" max="17" width="6.140625" bestFit="1" customWidth="1"/>
    <col min="18" max="18" width="7.28515625" bestFit="1" customWidth="1"/>
    <col min="19" max="21" width="6.140625" bestFit="1" customWidth="1"/>
    <col min="22" max="23" width="7.28515625" bestFit="1" customWidth="1"/>
    <col min="24" max="31" width="6.140625" bestFit="1" customWidth="1"/>
    <col min="32" max="32" width="5" bestFit="1" customWidth="1"/>
    <col min="33" max="33" width="6.140625" bestFit="1" customWidth="1"/>
    <col min="34" max="34" width="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2023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190.25</v>
      </c>
      <c r="C4" s="3" t="s">
        <v>2</v>
      </c>
      <c r="D4" s="4"/>
      <c r="E4" s="4"/>
      <c r="F4" s="4">
        <v>23</v>
      </c>
      <c r="G4" s="4">
        <v>7.2</v>
      </c>
      <c r="H4" s="4">
        <v>22.35</v>
      </c>
      <c r="I4" s="4"/>
      <c r="J4" s="4"/>
      <c r="K4" s="4"/>
      <c r="L4" s="4"/>
      <c r="M4" s="4">
        <v>18.5</v>
      </c>
      <c r="N4" s="4">
        <v>8.6</v>
      </c>
      <c r="O4" s="4">
        <v>14.3</v>
      </c>
      <c r="P4" s="4">
        <v>16.899999999999999</v>
      </c>
      <c r="Q4" s="4"/>
      <c r="R4" s="4"/>
      <c r="S4" s="4"/>
      <c r="T4" s="20"/>
      <c r="U4" s="4"/>
      <c r="V4" s="4"/>
      <c r="W4" s="4">
        <v>8</v>
      </c>
      <c r="X4" s="4">
        <v>8.8000000000000007</v>
      </c>
      <c r="Y4" s="4"/>
      <c r="Z4" s="4"/>
      <c r="AA4" s="4">
        <v>25</v>
      </c>
      <c r="AB4" s="4">
        <v>13.8</v>
      </c>
      <c r="AC4" s="4">
        <v>6</v>
      </c>
      <c r="AD4" s="4">
        <v>17.8</v>
      </c>
      <c r="AE4" s="4"/>
      <c r="AF4" s="4"/>
      <c r="AG4" s="4"/>
      <c r="AH4" s="4"/>
    </row>
    <row r="5" spans="1:34" x14ac:dyDescent="0.2">
      <c r="A5" s="7">
        <f>SUM(D4:AH4)</f>
        <v>190.25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124.10000000000002</v>
      </c>
      <c r="C6" s="3" t="s">
        <v>2</v>
      </c>
      <c r="D6" s="4"/>
      <c r="E6" s="4"/>
      <c r="F6" s="4"/>
      <c r="G6" s="4"/>
      <c r="H6" s="4"/>
      <c r="I6" s="4"/>
      <c r="J6" s="4">
        <v>14.1</v>
      </c>
      <c r="K6" s="4">
        <v>33.6</v>
      </c>
      <c r="L6" s="4"/>
      <c r="M6" s="4">
        <v>8</v>
      </c>
      <c r="N6" s="20"/>
      <c r="O6" s="4"/>
      <c r="P6" s="4"/>
      <c r="Q6" s="4">
        <v>21.1</v>
      </c>
      <c r="R6" s="4">
        <v>15</v>
      </c>
      <c r="S6" s="4"/>
      <c r="T6" s="4"/>
      <c r="U6" s="4">
        <v>17.899999999999999</v>
      </c>
      <c r="V6" s="4"/>
      <c r="W6" s="4"/>
      <c r="X6" s="4"/>
      <c r="Y6" s="4"/>
      <c r="Z6" s="4"/>
      <c r="AA6" s="4"/>
      <c r="AB6" s="4">
        <v>14.4</v>
      </c>
      <c r="AC6" s="4"/>
      <c r="AD6" s="4"/>
      <c r="AE6" s="4"/>
      <c r="AF6" s="4"/>
      <c r="AG6" s="4"/>
      <c r="AH6" s="4"/>
    </row>
    <row r="7" spans="1:34" x14ac:dyDescent="0.2">
      <c r="A7" s="7">
        <f>SUM(D6:AH6)</f>
        <v>124.10000000000002</v>
      </c>
      <c r="B7" s="8">
        <f>SUM(D7:AH7)</f>
        <v>0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200.10999999999999</v>
      </c>
      <c r="C8" s="3" t="s">
        <v>2</v>
      </c>
      <c r="D8" s="4">
        <v>25.7</v>
      </c>
      <c r="E8" s="4">
        <v>5.8</v>
      </c>
      <c r="F8" s="4"/>
      <c r="G8" s="4"/>
      <c r="H8" s="4"/>
      <c r="I8" s="4"/>
      <c r="J8" s="4">
        <v>6.9</v>
      </c>
      <c r="K8" s="4">
        <v>6.6</v>
      </c>
      <c r="L8" s="4">
        <v>58.1</v>
      </c>
      <c r="M8" s="4"/>
      <c r="O8" s="4"/>
      <c r="P8" s="4"/>
      <c r="Q8" s="4">
        <v>8.5</v>
      </c>
      <c r="R8" s="4"/>
      <c r="S8" s="4"/>
      <c r="T8" s="4">
        <v>23.8</v>
      </c>
      <c r="U8" s="4"/>
      <c r="V8" s="4"/>
      <c r="W8" s="4"/>
      <c r="X8" s="4"/>
      <c r="Y8" s="4">
        <v>6.95</v>
      </c>
      <c r="Z8" s="4"/>
      <c r="AA8" s="4">
        <v>17</v>
      </c>
      <c r="AB8" s="4">
        <v>8.5</v>
      </c>
      <c r="AC8" s="4"/>
      <c r="AD8" s="4"/>
      <c r="AE8" s="4">
        <v>8.1999999999999993</v>
      </c>
      <c r="AF8" s="4">
        <v>5.4</v>
      </c>
      <c r="AG8" s="4">
        <v>18.66</v>
      </c>
      <c r="AH8" s="4"/>
    </row>
    <row r="9" spans="1:34" x14ac:dyDescent="0.2">
      <c r="A9" s="7">
        <f>SUM(D8:AH8)</f>
        <v>200.10999999999999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225.65000000000003</v>
      </c>
      <c r="C10" s="3" t="s">
        <v>2</v>
      </c>
      <c r="D10" s="4">
        <v>17</v>
      </c>
      <c r="E10" s="4"/>
      <c r="F10" s="4"/>
      <c r="G10" s="4">
        <v>17.7</v>
      </c>
      <c r="H10" s="4">
        <v>23</v>
      </c>
      <c r="I10" s="4">
        <v>27</v>
      </c>
      <c r="J10" s="4"/>
      <c r="K10" s="4">
        <v>8.4</v>
      </c>
      <c r="L10" s="4"/>
      <c r="M10" s="4"/>
      <c r="N10" s="4"/>
      <c r="O10" s="4"/>
      <c r="P10" s="4">
        <v>30</v>
      </c>
      <c r="Q10" s="4"/>
      <c r="R10" s="4">
        <v>42.4</v>
      </c>
      <c r="S10" s="4"/>
      <c r="T10" s="4"/>
      <c r="U10" s="4">
        <v>5.9</v>
      </c>
      <c r="V10" s="4">
        <v>21.8</v>
      </c>
      <c r="W10" s="4">
        <v>6.4</v>
      </c>
      <c r="X10" s="4"/>
      <c r="Y10" s="4"/>
      <c r="Z10" s="4"/>
      <c r="AA10" s="4"/>
      <c r="AB10" s="4"/>
      <c r="AC10" s="4">
        <v>13.05</v>
      </c>
      <c r="AD10" s="4">
        <v>6.6</v>
      </c>
      <c r="AE10" s="4"/>
      <c r="AF10" s="4">
        <v>6.4</v>
      </c>
      <c r="AG10" s="4"/>
      <c r="AH10" s="4"/>
    </row>
    <row r="11" spans="1:34" x14ac:dyDescent="0.2">
      <c r="A11" s="7">
        <f>SUM(D10:AH10)</f>
        <v>225.65000000000003</v>
      </c>
      <c r="B11" s="8">
        <f>SUM(D11:AH11)</f>
        <v>0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203.75</v>
      </c>
      <c r="C12" s="3" t="s">
        <v>2</v>
      </c>
      <c r="D12" s="4"/>
      <c r="E12" s="4"/>
      <c r="F12" s="4"/>
      <c r="G12" s="4">
        <v>63</v>
      </c>
      <c r="H12" s="4"/>
      <c r="I12" s="4"/>
      <c r="J12" s="4"/>
      <c r="K12" s="4"/>
      <c r="L12" s="4">
        <v>5.4</v>
      </c>
      <c r="M12" s="4">
        <v>52</v>
      </c>
      <c r="N12" s="4"/>
      <c r="O12" s="4"/>
      <c r="P12" s="4">
        <v>5.95</v>
      </c>
      <c r="Q12" s="4"/>
      <c r="R12" s="4"/>
      <c r="S12" s="4"/>
      <c r="T12" s="4">
        <v>10.5</v>
      </c>
      <c r="U12" s="4"/>
      <c r="V12" s="4"/>
      <c r="W12" s="4">
        <v>5.2</v>
      </c>
      <c r="X12" s="4"/>
      <c r="Y12" s="4"/>
      <c r="Z12" s="4">
        <v>40</v>
      </c>
      <c r="AA12" s="4"/>
      <c r="AB12" s="4">
        <v>16.7</v>
      </c>
      <c r="AC12" s="4">
        <v>5</v>
      </c>
      <c r="AD12" s="4"/>
      <c r="AE12" s="4"/>
      <c r="AF12" s="4"/>
      <c r="AG12" s="4"/>
      <c r="AH12" s="4"/>
    </row>
    <row r="13" spans="1:34" x14ac:dyDescent="0.2">
      <c r="A13" s="7">
        <f>SUM(D12:AH12)</f>
        <v>203.75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-31.499999999999964</v>
      </c>
      <c r="C14" s="3" t="s">
        <v>2</v>
      </c>
      <c r="D14" s="4">
        <v>31</v>
      </c>
      <c r="E14" s="4"/>
      <c r="F14" s="4">
        <v>54.7</v>
      </c>
      <c r="G14" s="4"/>
      <c r="H14" s="4"/>
      <c r="I14" s="4"/>
      <c r="J14" s="4">
        <v>6.2</v>
      </c>
      <c r="K14" s="4"/>
      <c r="L14" s="4">
        <v>6.2</v>
      </c>
      <c r="M14" s="4">
        <v>31.5</v>
      </c>
      <c r="N14" s="4"/>
      <c r="O14" s="4"/>
      <c r="P14" s="4"/>
      <c r="Q14" s="4"/>
      <c r="R14" s="4">
        <v>59.4</v>
      </c>
      <c r="S14" s="4"/>
      <c r="T14" s="4"/>
      <c r="U14" s="4"/>
      <c r="V14" s="4"/>
      <c r="W14" s="4">
        <v>10</v>
      </c>
      <c r="X14" s="4">
        <v>6.4</v>
      </c>
      <c r="Y14" s="4">
        <v>16.2</v>
      </c>
      <c r="Z14" s="4">
        <v>4</v>
      </c>
      <c r="AA14" s="4">
        <v>10.5</v>
      </c>
      <c r="AB14" s="4"/>
      <c r="AC14" s="4"/>
      <c r="AD14" s="4">
        <v>11.4</v>
      </c>
      <c r="AE14" s="4"/>
      <c r="AF14" s="4"/>
      <c r="AG14" s="4"/>
      <c r="AH14" s="4"/>
    </row>
    <row r="15" spans="1:34" x14ac:dyDescent="0.2">
      <c r="A15" s="7">
        <f>SUM(D14:AH14)</f>
        <v>247.50000000000003</v>
      </c>
      <c r="B15" s="8">
        <f>SUM(D15:AH15)</f>
        <v>279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>
        <v>279</v>
      </c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247.8</v>
      </c>
      <c r="C16" s="3" t="s">
        <v>2</v>
      </c>
      <c r="D16" s="4">
        <v>31.4</v>
      </c>
      <c r="E16" s="4"/>
      <c r="F16" s="4"/>
      <c r="G16" s="4"/>
      <c r="H16" s="4">
        <v>27.3</v>
      </c>
      <c r="I16" s="4">
        <v>12.45</v>
      </c>
      <c r="J16" s="4">
        <v>22</v>
      </c>
      <c r="K16" s="4">
        <v>26</v>
      </c>
      <c r="L16" s="4"/>
      <c r="M16" s="4"/>
      <c r="N16" s="4">
        <v>6</v>
      </c>
      <c r="O16" s="4"/>
      <c r="P16" s="4"/>
      <c r="Q16" s="4">
        <v>25</v>
      </c>
      <c r="R16" s="4">
        <v>34</v>
      </c>
      <c r="T16" s="4"/>
      <c r="U16" s="4"/>
      <c r="V16" s="4"/>
      <c r="W16" s="4">
        <v>8</v>
      </c>
      <c r="X16" s="4">
        <v>6.9</v>
      </c>
      <c r="Y16" s="4">
        <v>26.75</v>
      </c>
      <c r="Z16" s="4"/>
      <c r="AA16" s="4"/>
      <c r="AB16" s="4"/>
      <c r="AC16" s="4">
        <v>12</v>
      </c>
      <c r="AD16" s="4">
        <v>6.5</v>
      </c>
      <c r="AE16" s="4">
        <v>3.5</v>
      </c>
      <c r="AF16" s="4"/>
      <c r="AG16" s="4"/>
      <c r="AH16" s="4"/>
    </row>
    <row r="17" spans="1:34" x14ac:dyDescent="0.2">
      <c r="A17" s="7">
        <f>SUM(D16:AH16)</f>
        <v>247.8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14</v>
      </c>
      <c r="C18" s="3" t="s">
        <v>2</v>
      </c>
      <c r="D18" s="4">
        <v>14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14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70.599999999999994</v>
      </c>
      <c r="C20" s="3" t="s">
        <v>2</v>
      </c>
      <c r="D20" s="4"/>
      <c r="E20" s="4"/>
      <c r="F20" s="4"/>
      <c r="G20" s="4"/>
      <c r="H20" s="20">
        <v>3.6</v>
      </c>
      <c r="I20" s="4">
        <v>3</v>
      </c>
      <c r="J20" s="4"/>
      <c r="K20" s="4">
        <v>8</v>
      </c>
      <c r="L20" s="4"/>
      <c r="M20" s="4"/>
      <c r="N20" s="4"/>
      <c r="O20" s="4"/>
      <c r="P20" s="4">
        <v>10.4</v>
      </c>
      <c r="Q20" s="4"/>
      <c r="R20" s="4">
        <v>10</v>
      </c>
      <c r="S20" s="4"/>
      <c r="T20" s="4"/>
      <c r="U20" s="4"/>
      <c r="V20" s="4">
        <v>8.4</v>
      </c>
      <c r="W20" s="4">
        <v>7.6</v>
      </c>
      <c r="Y20" s="4"/>
      <c r="Z20" s="4">
        <v>14</v>
      </c>
      <c r="AA20" s="4"/>
      <c r="AB20" s="4"/>
      <c r="AC20" s="4"/>
      <c r="AD20" s="4"/>
      <c r="AE20" s="4"/>
      <c r="AF20" s="4">
        <v>5.6</v>
      </c>
      <c r="AG20" s="4"/>
      <c r="AH20" s="4"/>
    </row>
    <row r="21" spans="1:34" x14ac:dyDescent="0.2">
      <c r="A21" s="7">
        <f>SUM(D20:AH20)</f>
        <v>70.599999999999994</v>
      </c>
      <c r="B21" s="8">
        <f>SUM(D21:AH21)</f>
        <v>0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277.70000000000005</v>
      </c>
      <c r="C22" s="3" t="s">
        <v>2</v>
      </c>
      <c r="D22" s="4"/>
      <c r="E22" s="4"/>
      <c r="F22" s="4">
        <v>8.4</v>
      </c>
      <c r="G22" s="4"/>
      <c r="H22" s="4"/>
      <c r="I22" s="4">
        <v>4.5999999999999996</v>
      </c>
      <c r="J22" s="4">
        <v>8</v>
      </c>
      <c r="K22" s="4"/>
      <c r="L22" s="4"/>
      <c r="M22" s="4"/>
      <c r="N22" s="4">
        <v>22.6</v>
      </c>
      <c r="O22" s="4"/>
      <c r="P22" s="4"/>
      <c r="Q22" s="4">
        <v>12.1</v>
      </c>
      <c r="R22" s="4"/>
      <c r="S22" s="4"/>
      <c r="T22" s="4">
        <v>60</v>
      </c>
      <c r="U22" s="4"/>
      <c r="V22" s="4"/>
      <c r="W22" s="4">
        <v>19.600000000000001</v>
      </c>
      <c r="X22" s="4">
        <v>9.6</v>
      </c>
      <c r="Y22" s="4"/>
      <c r="Z22" s="4"/>
      <c r="AA22" s="4">
        <v>11.4</v>
      </c>
      <c r="AB22" s="4">
        <v>5.4</v>
      </c>
      <c r="AC22" s="4">
        <v>25.5</v>
      </c>
      <c r="AD22" s="4">
        <v>53.5</v>
      </c>
      <c r="AE22" s="4">
        <v>28.2</v>
      </c>
      <c r="AF22" s="4"/>
      <c r="AG22" s="4"/>
      <c r="AH22" s="4">
        <v>8.8000000000000007</v>
      </c>
    </row>
    <row r="23" spans="1:34" x14ac:dyDescent="0.2">
      <c r="A23" s="7">
        <f>SUM(D22:AH22)</f>
        <v>277.70000000000005</v>
      </c>
      <c r="B23" s="8">
        <f>SUM(D23:AH23)</f>
        <v>0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-10.250000000000002</v>
      </c>
      <c r="C24" s="3" t="s">
        <v>2</v>
      </c>
      <c r="D24" s="4"/>
      <c r="E24" s="4"/>
      <c r="F24" s="4"/>
      <c r="G24" s="4"/>
      <c r="H24" s="20"/>
      <c r="I24" s="4"/>
      <c r="J24" s="4">
        <v>12.5</v>
      </c>
      <c r="K24" s="4"/>
      <c r="L24" s="4">
        <v>12.5</v>
      </c>
      <c r="M24" s="4">
        <v>17.2</v>
      </c>
      <c r="N24" s="4">
        <v>36.799999999999997</v>
      </c>
      <c r="O24" s="4"/>
      <c r="P24" s="4"/>
      <c r="Q24" s="4">
        <v>17</v>
      </c>
      <c r="R24" s="4">
        <v>10.55</v>
      </c>
      <c r="S24" s="4">
        <v>35.200000000000003</v>
      </c>
      <c r="T24" s="4">
        <v>6</v>
      </c>
      <c r="U24" s="4"/>
      <c r="V24" s="4"/>
      <c r="W24" s="4"/>
      <c r="X24" s="4">
        <v>11.8</v>
      </c>
      <c r="Y24" s="4"/>
      <c r="Z24" s="4">
        <v>16</v>
      </c>
      <c r="AA24" s="4">
        <v>20.8</v>
      </c>
      <c r="AB24" s="4">
        <v>7.4</v>
      </c>
      <c r="AC24" s="4"/>
      <c r="AD24" s="4"/>
      <c r="AE24" s="4"/>
      <c r="AF24" s="4"/>
      <c r="AG24" s="4"/>
      <c r="AH24" s="4"/>
    </row>
    <row r="25" spans="1:34" x14ac:dyDescent="0.2">
      <c r="A25" s="7">
        <f>SUM(D24:AH24)</f>
        <v>203.75000000000003</v>
      </c>
      <c r="B25" s="8">
        <f>SUM(D25:AH25)</f>
        <v>214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>
        <v>214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255.8</v>
      </c>
      <c r="C26" s="3" t="s">
        <v>2</v>
      </c>
      <c r="D26" s="4">
        <v>10.7</v>
      </c>
      <c r="E26" s="4">
        <v>23.7</v>
      </c>
      <c r="F26" s="4"/>
      <c r="G26" s="4"/>
      <c r="H26" s="4">
        <v>42.1</v>
      </c>
      <c r="I26" s="4">
        <v>57</v>
      </c>
      <c r="J26" s="4">
        <v>7</v>
      </c>
      <c r="K26" s="4"/>
      <c r="L26" s="4">
        <v>23</v>
      </c>
      <c r="M26" s="4"/>
      <c r="N26" s="4"/>
      <c r="O26" s="4"/>
      <c r="P26" s="4">
        <v>25.2</v>
      </c>
      <c r="Q26" s="4">
        <v>9</v>
      </c>
      <c r="R26" s="4">
        <v>47.8</v>
      </c>
      <c r="S26" s="4">
        <v>32.700000000000003</v>
      </c>
      <c r="T26" s="4"/>
      <c r="U26" s="4"/>
      <c r="V26" s="4">
        <v>180.9</v>
      </c>
      <c r="W26" s="4">
        <v>13</v>
      </c>
      <c r="X26" s="4">
        <v>36.299999999999997</v>
      </c>
      <c r="Y26" s="4"/>
      <c r="Z26" s="4">
        <v>42.3</v>
      </c>
      <c r="AA26" s="4"/>
      <c r="AB26" s="4"/>
      <c r="AC26" s="4"/>
      <c r="AD26" s="4">
        <v>12.2</v>
      </c>
      <c r="AE26" s="4">
        <v>8.1999999999999993</v>
      </c>
      <c r="AF26" s="4">
        <v>8</v>
      </c>
      <c r="AG26" s="4">
        <v>10</v>
      </c>
      <c r="AH26" s="4"/>
    </row>
    <row r="27" spans="1:34" x14ac:dyDescent="0.2">
      <c r="A27" s="7">
        <f>SUM(D26:AH26)</f>
        <v>589.10000000000014</v>
      </c>
      <c r="B27" s="8">
        <f>SUM(D27:AH27)</f>
        <v>333.3</v>
      </c>
      <c r="C27" s="9" t="s">
        <v>3</v>
      </c>
      <c r="D27" s="10"/>
      <c r="E27" s="10"/>
      <c r="F27" s="10"/>
      <c r="G27" s="10"/>
      <c r="H27" s="10">
        <v>209.74</v>
      </c>
      <c r="I27" s="21"/>
      <c r="J27" s="10"/>
      <c r="K27" s="10"/>
      <c r="L27" s="10"/>
      <c r="M27" s="10"/>
      <c r="N27" s="10"/>
      <c r="O27" s="10"/>
      <c r="P27" s="10"/>
      <c r="Q27" s="10"/>
      <c r="R27" s="10">
        <v>123.56</v>
      </c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2594.3100000000004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826.3</v>
      </c>
    </row>
    <row r="31" spans="1:34" x14ac:dyDescent="0.2">
      <c r="A31" s="1" t="s">
        <v>17</v>
      </c>
      <c r="B31" s="6">
        <f>B29-B30</f>
        <v>1768.0100000000004</v>
      </c>
    </row>
    <row r="32" spans="1:34" x14ac:dyDescent="0.2">
      <c r="A32" s="1"/>
      <c r="B32" s="26"/>
    </row>
  </sheetData>
  <conditionalFormatting sqref="B31">
    <cfRule type="cellIs" dxfId="7" priority="1" stopIfTrue="1" operator="lessThanOrEqual">
      <formula>0</formula>
    </cfRule>
    <cfRule type="cellIs" dxfId="6" priority="2" stopIfTrue="1" operator="greaterThanOrEqual">
      <formula>0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2"/>
  <sheetViews>
    <sheetView tabSelected="1" topLeftCell="A2" zoomScale="90" zoomScaleNormal="90" workbookViewId="0">
      <selection activeCell="H14" sqref="H14"/>
    </sheetView>
  </sheetViews>
  <sheetFormatPr defaultRowHeight="12.75" x14ac:dyDescent="0.2"/>
  <cols>
    <col min="1" max="1" width="11.42578125" bestFit="1" customWidth="1"/>
    <col min="2" max="2" width="8.85546875" bestFit="1" customWidth="1"/>
    <col min="3" max="4" width="2.42578125" bestFit="1" customWidth="1"/>
    <col min="5" max="5" width="6.140625" bestFit="1" customWidth="1"/>
    <col min="6" max="6" width="7.28515625" bestFit="1" customWidth="1"/>
    <col min="7" max="7" width="6.140625" bestFit="1" customWidth="1"/>
    <col min="8" max="8" width="5" bestFit="1" customWidth="1"/>
    <col min="9" max="12" width="6.140625" bestFit="1" customWidth="1"/>
    <col min="13" max="13" width="5" bestFit="1" customWidth="1"/>
    <col min="14" max="17" width="6.140625" bestFit="1" customWidth="1"/>
    <col min="18" max="19" width="5" bestFit="1" customWidth="1"/>
    <col min="20" max="23" width="6.140625" bestFit="1" customWidth="1"/>
    <col min="24" max="25" width="5" bestFit="1" customWidth="1"/>
    <col min="26" max="26" width="7.28515625" bestFit="1" customWidth="1"/>
    <col min="27" max="27" width="6.140625" bestFit="1" customWidth="1"/>
    <col min="28" max="28" width="5" bestFit="1" customWidth="1"/>
    <col min="29" max="29" width="6.140625" bestFit="1" customWidth="1"/>
    <col min="30" max="30" width="3.5703125" bestFit="1" customWidth="1"/>
    <col min="31" max="31" width="6.140625" bestFit="1" customWidth="1"/>
    <col min="32" max="33" width="3.5703125" bestFit="1" customWidth="1"/>
    <col min="34" max="34" width="6.1406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2024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" t="s">
        <v>1</v>
      </c>
      <c r="B4" s="6">
        <f t="array" ref="B4">SUM(D4:AH4-D5:AH5)</f>
        <v>233.40000000000003</v>
      </c>
      <c r="C4" s="3" t="s">
        <v>2</v>
      </c>
      <c r="D4" s="4"/>
      <c r="E4" s="4"/>
      <c r="F4" s="4">
        <v>7.4</v>
      </c>
      <c r="G4" s="4">
        <v>8.6</v>
      </c>
      <c r="H4" s="4"/>
      <c r="I4" s="4"/>
      <c r="J4" s="4"/>
      <c r="K4" s="4"/>
      <c r="L4" s="4"/>
      <c r="M4" s="4"/>
      <c r="N4" s="4">
        <v>13.2</v>
      </c>
      <c r="O4" s="4">
        <v>20</v>
      </c>
      <c r="P4" s="4"/>
      <c r="Q4" s="4"/>
      <c r="R4" s="4"/>
      <c r="S4" s="4">
        <v>8.6999999999999993</v>
      </c>
      <c r="T4" s="20">
        <v>10.9</v>
      </c>
      <c r="U4" s="4">
        <v>6.7</v>
      </c>
      <c r="V4" s="4">
        <v>11.4</v>
      </c>
      <c r="W4" s="4">
        <v>97.7</v>
      </c>
      <c r="X4" s="4"/>
      <c r="Y4" s="4"/>
      <c r="Z4" s="4">
        <v>10.5</v>
      </c>
      <c r="AA4" s="4">
        <v>18.399999999999999</v>
      </c>
      <c r="AB4" s="4">
        <v>7</v>
      </c>
      <c r="AC4" s="4"/>
      <c r="AD4" s="4"/>
      <c r="AE4" s="4"/>
      <c r="AF4" s="4"/>
      <c r="AG4" s="4"/>
      <c r="AH4" s="4">
        <v>12.9</v>
      </c>
    </row>
    <row r="5" spans="1:34" x14ac:dyDescent="0.2">
      <c r="A5" s="7">
        <f>SUM(D4:AH4)</f>
        <v>233.40000000000003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x14ac:dyDescent="0.2">
      <c r="A6" s="1" t="s">
        <v>4</v>
      </c>
      <c r="B6" s="6">
        <f t="array" ref="B6">SUM(D6:AH6-D7:AH7)</f>
        <v>136.35000000000002</v>
      </c>
      <c r="C6" s="3" t="s">
        <v>2</v>
      </c>
      <c r="D6" s="4"/>
      <c r="E6" s="4">
        <v>29.7</v>
      </c>
      <c r="F6" s="4">
        <v>37</v>
      </c>
      <c r="G6" s="4"/>
      <c r="H6" s="4"/>
      <c r="I6" s="4"/>
      <c r="J6" s="4">
        <v>9.4</v>
      </c>
      <c r="K6" s="4"/>
      <c r="L6" s="4"/>
      <c r="M6" s="4">
        <v>7.5</v>
      </c>
      <c r="N6" s="20"/>
      <c r="O6" s="4"/>
      <c r="P6" s="4">
        <v>16.2</v>
      </c>
      <c r="Q6" s="4"/>
      <c r="R6" s="4"/>
      <c r="S6" s="4"/>
      <c r="T6" s="4">
        <v>10.199999999999999</v>
      </c>
      <c r="U6" s="4"/>
      <c r="V6" s="4"/>
      <c r="W6" s="4">
        <v>8.1999999999999993</v>
      </c>
      <c r="X6" s="4"/>
      <c r="Y6" s="4"/>
      <c r="Z6" s="4"/>
      <c r="AA6" s="4">
        <v>5</v>
      </c>
      <c r="AB6" s="4"/>
      <c r="AC6" s="4"/>
      <c r="AD6" s="4"/>
      <c r="AE6" s="4">
        <v>13.15</v>
      </c>
      <c r="AF6" s="4"/>
      <c r="AG6" s="4"/>
      <c r="AH6" s="4"/>
    </row>
    <row r="7" spans="1:34" x14ac:dyDescent="0.2">
      <c r="A7" s="7">
        <f>SUM(D6:AH6)</f>
        <v>136.35000000000002</v>
      </c>
      <c r="B7" s="8">
        <f>SUM(D7:AH7)</f>
        <v>0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x14ac:dyDescent="0.2">
      <c r="A8" s="1" t="s">
        <v>5</v>
      </c>
      <c r="B8" s="6">
        <f t="array" ref="B8">SUM(D8:AH8-D9:AH9)</f>
        <v>172.9</v>
      </c>
      <c r="C8" s="3" t="s">
        <v>2</v>
      </c>
      <c r="D8" s="4"/>
      <c r="G8" s="4"/>
      <c r="H8" s="4"/>
      <c r="I8" s="4">
        <v>6.8</v>
      </c>
      <c r="J8" s="4">
        <v>34</v>
      </c>
      <c r="K8" s="4"/>
      <c r="L8" s="4"/>
      <c r="M8" s="4"/>
      <c r="O8" s="4">
        <v>49.5</v>
      </c>
      <c r="P8" s="4"/>
      <c r="Q8" s="4">
        <v>18.7</v>
      </c>
      <c r="R8" s="4">
        <v>4.0999999999999996</v>
      </c>
      <c r="S8" s="4"/>
      <c r="T8" s="4"/>
      <c r="U8" s="4"/>
      <c r="V8" s="4">
        <v>22.3</v>
      </c>
      <c r="W8" s="4">
        <v>22.5</v>
      </c>
      <c r="X8" s="4"/>
      <c r="Y8" s="4"/>
      <c r="Z8" s="4"/>
      <c r="AA8" s="4"/>
      <c r="AB8" s="4"/>
      <c r="AC8" s="4">
        <v>15</v>
      </c>
      <c r="AD8" s="4"/>
      <c r="AE8" s="4"/>
      <c r="AF8" s="4"/>
      <c r="AG8" s="4"/>
      <c r="AH8" s="4"/>
    </row>
    <row r="9" spans="1:34" x14ac:dyDescent="0.2">
      <c r="A9" s="7">
        <f>SUM(D8:AH8)</f>
        <v>172.9</v>
      </c>
      <c r="B9" s="8">
        <f>SUM(D9:AH9)</f>
        <v>0</v>
      </c>
      <c r="C9" s="9" t="s">
        <v>3</v>
      </c>
      <c r="D9" s="10"/>
      <c r="E9" s="10"/>
      <c r="F9" s="10"/>
      <c r="G9" s="10"/>
      <c r="H9" s="22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</row>
    <row r="10" spans="1:34" x14ac:dyDescent="0.2">
      <c r="A10" s="1" t="s">
        <v>6</v>
      </c>
      <c r="B10" s="6">
        <f t="array" ref="B10">SUM(D10:AH10-D11:AH11)</f>
        <v>-57.179999999999986</v>
      </c>
      <c r="C10" s="3" t="s">
        <v>2</v>
      </c>
      <c r="D10" s="4"/>
      <c r="E10" s="4">
        <v>12.2</v>
      </c>
      <c r="F10" s="4">
        <v>3.3</v>
      </c>
      <c r="G10" s="4"/>
      <c r="H10" s="4">
        <v>6.6</v>
      </c>
      <c r="I10" s="4">
        <v>12.5</v>
      </c>
      <c r="J10" s="4"/>
      <c r="K10" s="4"/>
      <c r="L10" s="4">
        <v>25</v>
      </c>
      <c r="M10" s="4"/>
      <c r="N10" s="4">
        <v>16</v>
      </c>
      <c r="O10" s="4">
        <v>19.399999999999999</v>
      </c>
      <c r="P10" s="4"/>
      <c r="Q10" s="4"/>
      <c r="R10" s="4"/>
      <c r="S10" s="4"/>
      <c r="T10" s="4">
        <v>9.4</v>
      </c>
      <c r="U10" s="4">
        <v>36.4</v>
      </c>
      <c r="V10" s="4"/>
      <c r="W10" s="4"/>
      <c r="X10" s="4"/>
      <c r="Y10" s="4"/>
      <c r="Z10" s="4"/>
      <c r="AA10" s="4">
        <v>11.8</v>
      </c>
      <c r="AB10" s="4"/>
      <c r="AC10" s="4">
        <v>18.600000000000001</v>
      </c>
      <c r="AD10" s="4"/>
      <c r="AE10" s="4"/>
      <c r="AF10" s="4"/>
      <c r="AG10" s="4"/>
      <c r="AH10" s="4"/>
    </row>
    <row r="11" spans="1:34" x14ac:dyDescent="0.2">
      <c r="A11" s="7">
        <f>SUM(D10:AH10)</f>
        <v>171.20000000000002</v>
      </c>
      <c r="B11" s="8">
        <f>SUM(D11:AH11)</f>
        <v>228.38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/>
      <c r="W11" s="10"/>
      <c r="X11" s="10"/>
      <c r="Y11" s="10"/>
      <c r="Z11" s="10">
        <v>228.38</v>
      </c>
      <c r="AA11" s="10"/>
      <c r="AB11" s="10"/>
      <c r="AC11" s="10"/>
      <c r="AD11" s="10"/>
      <c r="AE11" s="10"/>
      <c r="AF11" s="11"/>
      <c r="AG11" s="10"/>
      <c r="AH11" s="10"/>
    </row>
    <row r="12" spans="1:34" x14ac:dyDescent="0.2">
      <c r="A12" s="1" t="s">
        <v>7</v>
      </c>
      <c r="B12" s="6">
        <f t="array" ref="B12">SUM(D12:AH12-D13:AH13)</f>
        <v>34.599999999999994</v>
      </c>
      <c r="C12" s="3" t="s">
        <v>2</v>
      </c>
      <c r="D12" s="4"/>
      <c r="E12" s="4"/>
      <c r="F12" s="4"/>
      <c r="G12" s="4">
        <v>94.2</v>
      </c>
      <c r="H12" s="4"/>
      <c r="I12" s="4"/>
      <c r="J12" s="4">
        <v>13.9</v>
      </c>
      <c r="K12" s="4">
        <v>36.6</v>
      </c>
      <c r="L12" s="4">
        <v>90</v>
      </c>
      <c r="M12" s="4">
        <v>6</v>
      </c>
      <c r="N12" s="4"/>
      <c r="O12" s="4"/>
      <c r="P12" s="4"/>
      <c r="Q12" s="4"/>
      <c r="R12" s="4">
        <v>9.1999999999999993</v>
      </c>
      <c r="S12" s="4"/>
      <c r="T12" s="4">
        <v>7.8</v>
      </c>
      <c r="U12" s="4"/>
      <c r="V12" s="4"/>
      <c r="W12" s="4"/>
      <c r="X12" s="4">
        <v>6</v>
      </c>
      <c r="Y12" s="4">
        <v>4</v>
      </c>
      <c r="Z12" s="4"/>
      <c r="AA12" s="4">
        <v>6.5</v>
      </c>
      <c r="AB12" s="4">
        <v>9.6</v>
      </c>
      <c r="AC12" s="4"/>
      <c r="AD12" s="4"/>
      <c r="AE12" s="4">
        <v>5.8</v>
      </c>
      <c r="AF12" s="4"/>
      <c r="AG12" s="4"/>
      <c r="AH12" s="4">
        <v>5</v>
      </c>
    </row>
    <row r="13" spans="1:34" x14ac:dyDescent="0.2">
      <c r="A13" s="7">
        <f>SUM(D12:AH12)</f>
        <v>294.60000000000002</v>
      </c>
      <c r="B13" s="8">
        <f>SUM(D13:AH13)</f>
        <v>260</v>
      </c>
      <c r="C13" s="9" t="s">
        <v>3</v>
      </c>
      <c r="D13" s="10"/>
      <c r="E13" s="10"/>
      <c r="F13" s="10">
        <v>260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</row>
    <row r="14" spans="1:34" x14ac:dyDescent="0.2">
      <c r="A14" s="1" t="s">
        <v>8</v>
      </c>
      <c r="B14" s="6">
        <f t="array" ref="B14">SUM(D14:AH14-D15:AH15)</f>
        <v>203.45</v>
      </c>
      <c r="C14" s="3" t="s">
        <v>2</v>
      </c>
      <c r="D14" s="4"/>
      <c r="E14" s="4"/>
      <c r="F14" s="4"/>
      <c r="G14" s="4"/>
      <c r="H14" s="4">
        <v>4.8</v>
      </c>
      <c r="I14" s="4"/>
      <c r="J14" s="4"/>
      <c r="K14" s="4">
        <v>10</v>
      </c>
      <c r="L14" s="4"/>
      <c r="M14" s="4"/>
      <c r="N14" s="4">
        <v>19.600000000000001</v>
      </c>
      <c r="O14" s="4">
        <v>18</v>
      </c>
      <c r="P14" s="4">
        <v>13</v>
      </c>
      <c r="Q14" s="4">
        <v>9.5</v>
      </c>
      <c r="R14" s="4"/>
      <c r="S14" s="4"/>
      <c r="T14" s="4"/>
      <c r="U14" s="4">
        <v>42.2</v>
      </c>
      <c r="V14" s="4">
        <v>86.35</v>
      </c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</row>
    <row r="15" spans="1:34" x14ac:dyDescent="0.2">
      <c r="A15" s="7">
        <f>SUM(D14:AH14)</f>
        <v>203.45</v>
      </c>
      <c r="B15" s="8">
        <f>SUM(D15:AH15)</f>
        <v>0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</row>
    <row r="16" spans="1:34" x14ac:dyDescent="0.2">
      <c r="A16" s="1" t="s">
        <v>9</v>
      </c>
      <c r="B16" s="6">
        <f t="array" ref="B16">SUM(D16:AH16-D17:AH17)</f>
        <v>0</v>
      </c>
      <c r="C16" s="3" t="s">
        <v>2</v>
      </c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</row>
    <row r="17" spans="1:34" x14ac:dyDescent="0.2">
      <c r="A17" s="7">
        <f>SUM(D16:AH16)</f>
        <v>0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</row>
    <row r="18" spans="1:34" x14ac:dyDescent="0.2">
      <c r="A18" s="1" t="s">
        <v>10</v>
      </c>
      <c r="B18" s="6">
        <f t="array" ref="B18">SUM(D18:AH18-D19:AH19)</f>
        <v>0</v>
      </c>
      <c r="C18" s="3" t="s">
        <v>2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">
      <c r="A19" s="7">
        <f>SUM(D18:AH18)</f>
        <v>0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</row>
    <row r="20" spans="1:34" x14ac:dyDescent="0.2">
      <c r="A20" s="1" t="s">
        <v>11</v>
      </c>
      <c r="B20" s="6">
        <f t="array" ref="B20">SUM(D20:AH20-D21:AH21)</f>
        <v>0</v>
      </c>
      <c r="C20" s="3" t="s">
        <v>2</v>
      </c>
      <c r="D20" s="4"/>
      <c r="E20" s="4"/>
      <c r="F20" s="4"/>
      <c r="G20" s="4"/>
      <c r="H20" s="20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Y20" s="4"/>
      <c r="Z20" s="4"/>
      <c r="AA20" s="4"/>
      <c r="AB20" s="4"/>
      <c r="AC20" s="4"/>
      <c r="AD20" s="4"/>
      <c r="AE20" s="4"/>
      <c r="AF20" s="4"/>
      <c r="AG20" s="4"/>
      <c r="AH20" s="4"/>
    </row>
    <row r="21" spans="1:34" x14ac:dyDescent="0.2">
      <c r="A21" s="7">
        <f>SUM(D20:AH20)</f>
        <v>0</v>
      </c>
      <c r="B21" s="8">
        <f>SUM(D21:AH21)</f>
        <v>0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</row>
    <row r="22" spans="1:34" x14ac:dyDescent="0.2">
      <c r="A22" s="1" t="s">
        <v>12</v>
      </c>
      <c r="B22" s="6">
        <f t="array" ref="B22">SUM(D22:AH22-D23:AH23)</f>
        <v>0</v>
      </c>
      <c r="C22" s="3" t="s">
        <v>2</v>
      </c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</row>
    <row r="23" spans="1:34" x14ac:dyDescent="0.2">
      <c r="A23" s="7">
        <f>SUM(D22:AH22)</f>
        <v>0</v>
      </c>
      <c r="B23" s="8">
        <f>SUM(D23:AH23)</f>
        <v>0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</row>
    <row r="24" spans="1:34" x14ac:dyDescent="0.2">
      <c r="A24" s="1" t="s">
        <v>13</v>
      </c>
      <c r="B24" s="6">
        <f t="array" ref="B24">SUM(D24:AH24-D25:AH25)</f>
        <v>0</v>
      </c>
      <c r="C24" s="3" t="s">
        <v>2</v>
      </c>
      <c r="D24" s="4"/>
      <c r="E24" s="4"/>
      <c r="F24" s="4"/>
      <c r="G24" s="4"/>
      <c r="H24" s="20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</row>
    <row r="25" spans="1:34" x14ac:dyDescent="0.2">
      <c r="A25" s="7">
        <f>SUM(D24:AH24)</f>
        <v>0</v>
      </c>
      <c r="B25" s="8">
        <f>SUM(D25:AH25)</f>
        <v>0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</row>
    <row r="26" spans="1:34" x14ac:dyDescent="0.2">
      <c r="A26" s="1" t="s">
        <v>14</v>
      </c>
      <c r="B26" s="6">
        <f t="array" ref="B26">SUM(D26:AH26-D27:AH27)</f>
        <v>0</v>
      </c>
      <c r="C26" s="3" t="s">
        <v>2</v>
      </c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</row>
    <row r="27" spans="1:34" x14ac:dyDescent="0.2">
      <c r="A27" s="7">
        <f>SUM(D26:AH26)</f>
        <v>0</v>
      </c>
      <c r="B27" s="8">
        <f>SUM(D27:AH27)</f>
        <v>0</v>
      </c>
      <c r="C27" s="9" t="s">
        <v>3</v>
      </c>
      <c r="D27" s="10"/>
      <c r="E27" s="10"/>
      <c r="F27" s="10"/>
      <c r="G27" s="10"/>
      <c r="H27" s="10"/>
      <c r="I27" s="2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1211.9000000000001</v>
      </c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488.38</v>
      </c>
    </row>
    <row r="31" spans="1:34" x14ac:dyDescent="0.2">
      <c r="A31" s="1" t="s">
        <v>17</v>
      </c>
      <c r="B31" s="6">
        <f>B29-B30</f>
        <v>723.5200000000001</v>
      </c>
    </row>
    <row r="32" spans="1:34" x14ac:dyDescent="0.2">
      <c r="A32" s="1"/>
      <c r="B32" s="26"/>
    </row>
  </sheetData>
  <conditionalFormatting sqref="B31">
    <cfRule type="cellIs" dxfId="5" priority="1" stopIfTrue="1" operator="lessThanOrEqual">
      <formula>0</formula>
    </cfRule>
    <cfRule type="cellIs" dxfId="4" priority="2" stopIfTrue="1" operator="greaterThanOrEqual">
      <formula>0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1"/>
  <sheetViews>
    <sheetView workbookViewId="0">
      <selection activeCell="G4" sqref="G4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4" width="6.5703125" bestFit="1" customWidth="1"/>
    <col min="5" max="5" width="5.5703125" bestFit="1" customWidth="1"/>
    <col min="6" max="9" width="6.5703125" bestFit="1" customWidth="1"/>
    <col min="10" max="10" width="5.5703125" bestFit="1" customWidth="1"/>
    <col min="11" max="14" width="6.5703125" bestFit="1" customWidth="1"/>
    <col min="15" max="15" width="5.5703125" bestFit="1" customWidth="1"/>
    <col min="16" max="16" width="6.5703125" bestFit="1" customWidth="1"/>
    <col min="17" max="17" width="5.5703125" bestFit="1" customWidth="1"/>
    <col min="18" max="18" width="6.5703125" bestFit="1" customWidth="1"/>
    <col min="19" max="20" width="5.5703125" bestFit="1" customWidth="1"/>
    <col min="21" max="24" width="6.5703125" bestFit="1" customWidth="1"/>
    <col min="25" max="25" width="5.5703125" bestFit="1" customWidth="1"/>
    <col min="26" max="26" width="6.5703125" bestFit="1" customWidth="1"/>
    <col min="27" max="28" width="5.5703125" bestFit="1" customWidth="1"/>
    <col min="29" max="30" width="6.5703125" bestFit="1" customWidth="1"/>
    <col min="31" max="31" width="5.5703125" bestFit="1" customWidth="1"/>
    <col min="32" max="32" width="6.5703125" bestFit="1" customWidth="1"/>
    <col min="33" max="34" width="5.5703125" bestFit="1" customWidth="1"/>
  </cols>
  <sheetData>
    <row r="1" spans="1:34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">
      <c r="A2" s="1">
        <v>2014</v>
      </c>
      <c r="B2" s="1" t="s">
        <v>0</v>
      </c>
      <c r="C2" s="1"/>
      <c r="D2" s="1">
        <v>1</v>
      </c>
      <c r="E2" s="1">
        <f t="shared" ref="E2:AH2" si="0">D2+1</f>
        <v>2</v>
      </c>
      <c r="F2" s="1">
        <f t="shared" si="0"/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</row>
    <row r="3" spans="1:34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">
      <c r="A4" s="18" t="s">
        <v>1</v>
      </c>
      <c r="B4" s="17">
        <f t="shared" ref="B4:B11" si="1">SUM(D4:AH4)</f>
        <v>235.05000000000004</v>
      </c>
      <c r="C4" s="3" t="s">
        <v>2</v>
      </c>
      <c r="D4" s="4">
        <f>'2014'!D4</f>
        <v>0</v>
      </c>
      <c r="E4" s="4">
        <f>'2014'!E4</f>
        <v>0</v>
      </c>
      <c r="F4" s="4">
        <f>'2014'!F4</f>
        <v>0</v>
      </c>
      <c r="G4" s="4">
        <f>'2014'!G4</f>
        <v>12</v>
      </c>
      <c r="H4" s="4">
        <f>'2014'!H4</f>
        <v>0</v>
      </c>
      <c r="I4" s="4">
        <f>'2014'!I4</f>
        <v>0</v>
      </c>
      <c r="J4" s="4">
        <f>'2014'!J4</f>
        <v>27.9</v>
      </c>
      <c r="K4" s="4">
        <f>'2014'!K4</f>
        <v>15.1</v>
      </c>
      <c r="L4" s="4">
        <f>'2014'!L4</f>
        <v>29.3</v>
      </c>
      <c r="M4" s="4">
        <f>'2014'!M4</f>
        <v>18.600000000000001</v>
      </c>
      <c r="N4" s="4">
        <f>'2014'!N4</f>
        <v>7.1</v>
      </c>
      <c r="O4" s="4">
        <f>'2014'!O4</f>
        <v>0</v>
      </c>
      <c r="P4" s="4">
        <f>'2014'!P4</f>
        <v>0</v>
      </c>
      <c r="Q4" s="4">
        <f>'2014'!Q4</f>
        <v>14.3</v>
      </c>
      <c r="R4" s="4">
        <f>'2014'!R4</f>
        <v>10.4</v>
      </c>
      <c r="S4" s="4">
        <f>'2014'!S4</f>
        <v>13.4</v>
      </c>
      <c r="T4" s="4">
        <f>'2014'!T4</f>
        <v>0</v>
      </c>
      <c r="U4" s="4">
        <f>'2014'!U4</f>
        <v>13.8</v>
      </c>
      <c r="V4" s="4">
        <f>'2014'!V4</f>
        <v>0</v>
      </c>
      <c r="W4" s="4">
        <f>'2014'!W4</f>
        <v>0</v>
      </c>
      <c r="X4" s="4">
        <f>'2014'!X4</f>
        <v>12.3</v>
      </c>
      <c r="Y4" s="4">
        <f>'2014'!Y4</f>
        <v>0</v>
      </c>
      <c r="Z4" s="4">
        <f>'2014'!Z4</f>
        <v>0</v>
      </c>
      <c r="AA4" s="4">
        <f>'2014'!AA4</f>
        <v>15.55</v>
      </c>
      <c r="AB4" s="4">
        <f>'2014'!AB4</f>
        <v>12.3</v>
      </c>
      <c r="AC4" s="4">
        <f>'2014'!AC4</f>
        <v>0</v>
      </c>
      <c r="AD4" s="4">
        <f>'2014'!AD4</f>
        <v>0</v>
      </c>
      <c r="AE4" s="4">
        <f>'2014'!AE4</f>
        <v>8.6999999999999993</v>
      </c>
      <c r="AF4" s="4">
        <f>'2014'!AF4</f>
        <v>0</v>
      </c>
      <c r="AG4" s="4">
        <f>'2014'!AG4</f>
        <v>13.5</v>
      </c>
      <c r="AH4" s="4">
        <f>'2014'!AH4</f>
        <v>10.8</v>
      </c>
    </row>
    <row r="5" spans="1:34" x14ac:dyDescent="0.2">
      <c r="A5" s="19"/>
      <c r="B5" s="8">
        <f t="shared" si="1"/>
        <v>0</v>
      </c>
      <c r="C5" s="9" t="s">
        <v>3</v>
      </c>
      <c r="D5" s="4">
        <f>'2014'!D5</f>
        <v>0</v>
      </c>
      <c r="E5" s="4">
        <f>'2014'!E5</f>
        <v>0</v>
      </c>
      <c r="F5" s="4">
        <f>'2014'!F5</f>
        <v>0</v>
      </c>
      <c r="G5" s="4">
        <f>'2014'!G5</f>
        <v>0</v>
      </c>
      <c r="H5" s="4">
        <f>'2014'!H5</f>
        <v>0</v>
      </c>
      <c r="I5" s="4">
        <f>'2014'!I5</f>
        <v>0</v>
      </c>
      <c r="J5" s="4">
        <f>'2014'!J5</f>
        <v>0</v>
      </c>
      <c r="K5" s="4">
        <f>'2014'!K5</f>
        <v>0</v>
      </c>
      <c r="L5" s="4">
        <f>'2014'!L5</f>
        <v>0</v>
      </c>
      <c r="M5" s="4">
        <f>'2014'!M5</f>
        <v>0</v>
      </c>
      <c r="N5" s="4">
        <f>'2014'!N5</f>
        <v>0</v>
      </c>
      <c r="O5" s="4">
        <f>'2014'!O5</f>
        <v>0</v>
      </c>
      <c r="P5" s="4">
        <f>'2014'!P5</f>
        <v>0</v>
      </c>
      <c r="Q5" s="4">
        <f>'2014'!Q5</f>
        <v>0</v>
      </c>
      <c r="R5" s="4">
        <f>'2014'!R5</f>
        <v>0</v>
      </c>
      <c r="S5" s="4">
        <f>'2014'!S5</f>
        <v>0</v>
      </c>
      <c r="T5" s="4">
        <f>'2014'!T5</f>
        <v>0</v>
      </c>
      <c r="U5" s="4">
        <f>'2014'!U5</f>
        <v>0</v>
      </c>
      <c r="V5" s="4">
        <f>'2014'!V5</f>
        <v>0</v>
      </c>
      <c r="W5" s="4">
        <f>'2014'!W5</f>
        <v>0</v>
      </c>
      <c r="X5" s="4">
        <f>'2014'!X5</f>
        <v>0</v>
      </c>
      <c r="Y5" s="4">
        <f>'2014'!Y5</f>
        <v>0</v>
      </c>
      <c r="Z5" s="4">
        <f>'2014'!Z5</f>
        <v>0</v>
      </c>
      <c r="AA5" s="4">
        <f>'2014'!AA5</f>
        <v>0</v>
      </c>
      <c r="AB5" s="4">
        <f>'2014'!AB5</f>
        <v>0</v>
      </c>
      <c r="AC5" s="4">
        <f>'2014'!AC5</f>
        <v>0</v>
      </c>
      <c r="AD5" s="4">
        <f>'2014'!AD5</f>
        <v>0</v>
      </c>
      <c r="AE5" s="4">
        <f>'2014'!AE5</f>
        <v>0</v>
      </c>
      <c r="AF5" s="4">
        <f>'2014'!AF5</f>
        <v>0</v>
      </c>
      <c r="AG5" s="4">
        <f>'2014'!AG5</f>
        <v>0</v>
      </c>
      <c r="AH5" s="4">
        <f>'2014'!AH5</f>
        <v>0</v>
      </c>
    </row>
    <row r="6" spans="1:34" x14ac:dyDescent="0.2">
      <c r="A6" s="18" t="s">
        <v>4</v>
      </c>
      <c r="B6" s="17">
        <f t="shared" si="1"/>
        <v>359.19999999999993</v>
      </c>
      <c r="C6" s="3" t="s">
        <v>2</v>
      </c>
      <c r="D6" s="4">
        <f>'2014'!D6</f>
        <v>8</v>
      </c>
      <c r="E6" s="4">
        <f>'2014'!E6</f>
        <v>0</v>
      </c>
      <c r="F6" s="4">
        <f>'2014'!F6</f>
        <v>10.4</v>
      </c>
      <c r="G6" s="4">
        <f>'2014'!G6</f>
        <v>37</v>
      </c>
      <c r="H6" s="4">
        <f>'2014'!H6</f>
        <v>0</v>
      </c>
      <c r="I6" s="4">
        <f>'2014'!I6</f>
        <v>10</v>
      </c>
      <c r="J6" s="4">
        <f>'2014'!J6</f>
        <v>8.1999999999999993</v>
      </c>
      <c r="K6" s="4">
        <f>'2014'!K6</f>
        <v>13</v>
      </c>
      <c r="L6" s="4">
        <f>'2014'!L6</f>
        <v>0</v>
      </c>
      <c r="M6" s="4">
        <f>'2014'!M6</f>
        <v>7.5</v>
      </c>
      <c r="N6" s="4">
        <f>'2014'!N6</f>
        <v>71.5</v>
      </c>
      <c r="O6" s="4">
        <f>'2014'!O6</f>
        <v>28</v>
      </c>
      <c r="P6" s="4">
        <f>'2014'!P6</f>
        <v>6.9</v>
      </c>
      <c r="Q6" s="4">
        <f>'2014'!Q6</f>
        <v>5.7</v>
      </c>
      <c r="R6" s="4">
        <f>'2014'!R6</f>
        <v>50.3</v>
      </c>
      <c r="S6" s="4">
        <f>'2014'!S6</f>
        <v>0</v>
      </c>
      <c r="T6" s="4">
        <f>'2014'!T6</f>
        <v>0</v>
      </c>
      <c r="U6" s="4">
        <f>'2014'!U6</f>
        <v>8.4</v>
      </c>
      <c r="V6" s="4">
        <f>'2014'!V6</f>
        <v>0</v>
      </c>
      <c r="W6" s="4">
        <f>'2014'!W6</f>
        <v>12</v>
      </c>
      <c r="X6" s="4">
        <f>'2014'!X6</f>
        <v>35.9</v>
      </c>
      <c r="Y6" s="4">
        <f>'2014'!Y6</f>
        <v>25.2</v>
      </c>
      <c r="Z6" s="4">
        <f>'2014'!Z6</f>
        <v>0</v>
      </c>
      <c r="AA6" s="4">
        <f>'2014'!AA6</f>
        <v>0</v>
      </c>
      <c r="AB6" s="4">
        <f>'2014'!AB6</f>
        <v>0</v>
      </c>
      <c r="AC6" s="4">
        <f>'2014'!AC6</f>
        <v>13</v>
      </c>
      <c r="AD6" s="4">
        <f>'2014'!AD6</f>
        <v>0</v>
      </c>
      <c r="AE6" s="4">
        <f>'2014'!AE6</f>
        <v>8.1999999999999993</v>
      </c>
      <c r="AF6" s="4">
        <f>'2014'!AF6</f>
        <v>0</v>
      </c>
      <c r="AG6" s="4">
        <f>'2014'!AG6</f>
        <v>0</v>
      </c>
      <c r="AH6" s="4">
        <f>'2014'!AH6</f>
        <v>0</v>
      </c>
    </row>
    <row r="7" spans="1:34" x14ac:dyDescent="0.2">
      <c r="A7" s="19"/>
      <c r="B7" s="8">
        <f t="shared" si="1"/>
        <v>291.62</v>
      </c>
      <c r="C7" s="9" t="s">
        <v>3</v>
      </c>
      <c r="D7" s="4">
        <f>'2014'!D7</f>
        <v>0</v>
      </c>
      <c r="E7" s="4">
        <f>'2014'!E7</f>
        <v>0</v>
      </c>
      <c r="F7" s="4">
        <f>'2014'!F7</f>
        <v>0</v>
      </c>
      <c r="G7" s="4">
        <f>'2014'!G7</f>
        <v>0</v>
      </c>
      <c r="H7" s="4">
        <f>'2014'!H7</f>
        <v>0</v>
      </c>
      <c r="I7" s="4">
        <f>'2014'!I7</f>
        <v>0</v>
      </c>
      <c r="J7" s="4">
        <f>'2014'!J7</f>
        <v>0</v>
      </c>
      <c r="K7" s="4">
        <f>'2014'!K7</f>
        <v>0</v>
      </c>
      <c r="L7" s="4">
        <f>'2014'!L7</f>
        <v>0</v>
      </c>
      <c r="M7" s="4">
        <f>'2014'!M7</f>
        <v>0</v>
      </c>
      <c r="N7" s="4">
        <f>'2014'!N7</f>
        <v>0</v>
      </c>
      <c r="O7" s="4">
        <f>'2014'!O7</f>
        <v>0</v>
      </c>
      <c r="P7" s="4">
        <f>'2014'!P7</f>
        <v>0</v>
      </c>
      <c r="Q7" s="4">
        <f>'2014'!Q7</f>
        <v>291.62</v>
      </c>
      <c r="R7" s="4">
        <f>'2014'!R7</f>
        <v>0</v>
      </c>
      <c r="S7" s="4">
        <f>'2014'!S7</f>
        <v>0</v>
      </c>
      <c r="T7" s="4">
        <f>'2014'!T7</f>
        <v>0</v>
      </c>
      <c r="U7" s="4">
        <f>'2014'!U7</f>
        <v>0</v>
      </c>
      <c r="V7" s="4">
        <f>'2014'!V7</f>
        <v>0</v>
      </c>
      <c r="W7" s="4">
        <f>'2014'!W7</f>
        <v>0</v>
      </c>
      <c r="X7" s="4">
        <f>'2014'!X7</f>
        <v>0</v>
      </c>
      <c r="Y7" s="4">
        <f>'2014'!Y7</f>
        <v>0</v>
      </c>
      <c r="Z7" s="4">
        <f>'2014'!Z7</f>
        <v>0</v>
      </c>
      <c r="AA7" s="4">
        <f>'2014'!AA7</f>
        <v>0</v>
      </c>
      <c r="AB7" s="4">
        <f>'2014'!AB7</f>
        <v>0</v>
      </c>
      <c r="AC7" s="4">
        <f>'2014'!AC7</f>
        <v>0</v>
      </c>
      <c r="AD7" s="4">
        <f>'2014'!AD7</f>
        <v>0</v>
      </c>
      <c r="AE7" s="4">
        <f>'2014'!AE7</f>
        <v>0</v>
      </c>
      <c r="AF7" s="4">
        <f>'2014'!AF7</f>
        <v>0</v>
      </c>
      <c r="AG7" s="4">
        <f>'2014'!AG7</f>
        <v>0</v>
      </c>
      <c r="AH7" s="4">
        <f>'2014'!AH7</f>
        <v>0</v>
      </c>
    </row>
    <row r="8" spans="1:34" x14ac:dyDescent="0.2">
      <c r="A8" s="18" t="s">
        <v>5</v>
      </c>
      <c r="B8" s="17">
        <f t="shared" si="1"/>
        <v>201.7</v>
      </c>
      <c r="C8" s="3" t="s">
        <v>2</v>
      </c>
      <c r="D8" s="4">
        <f>'2014'!D8</f>
        <v>5.2</v>
      </c>
      <c r="E8" s="4">
        <f>'2014'!E8</f>
        <v>0</v>
      </c>
      <c r="F8" s="4">
        <f>'2014'!F8</f>
        <v>0</v>
      </c>
      <c r="G8" s="4">
        <f>'2014'!G8</f>
        <v>0</v>
      </c>
      <c r="H8" s="4">
        <f>'2014'!H8</f>
        <v>8</v>
      </c>
      <c r="I8" s="4">
        <f>'2014'!I8</f>
        <v>6</v>
      </c>
      <c r="J8" s="4">
        <f>'2014'!J8</f>
        <v>7.5</v>
      </c>
      <c r="K8" s="4">
        <f>'2014'!K8</f>
        <v>0</v>
      </c>
      <c r="L8" s="4">
        <f>'2014'!L8</f>
        <v>0</v>
      </c>
      <c r="M8" s="4">
        <f>'2014'!M8</f>
        <v>23.9</v>
      </c>
      <c r="N8" s="4">
        <f>'2014'!N8</f>
        <v>5.2</v>
      </c>
      <c r="O8" s="4">
        <f>'2014'!O8</f>
        <v>4.0999999999999996</v>
      </c>
      <c r="P8" s="4">
        <f>'2014'!P8</f>
        <v>6.9</v>
      </c>
      <c r="Q8" s="4">
        <f>'2014'!Q8</f>
        <v>4.5999999999999996</v>
      </c>
      <c r="R8" s="4">
        <f>'2014'!R8</f>
        <v>28.6</v>
      </c>
      <c r="S8" s="4">
        <f>'2014'!S8</f>
        <v>0</v>
      </c>
      <c r="T8" s="4">
        <f>'2014'!T8</f>
        <v>0</v>
      </c>
      <c r="U8" s="4">
        <f>'2014'!U8</f>
        <v>15.3</v>
      </c>
      <c r="V8" s="4">
        <f>'2014'!V8</f>
        <v>14.4</v>
      </c>
      <c r="W8" s="4">
        <f>'2014'!W8</f>
        <v>0</v>
      </c>
      <c r="X8" s="4">
        <f>'2014'!X8</f>
        <v>17.899999999999999</v>
      </c>
      <c r="Y8" s="4">
        <f>'2014'!Y8</f>
        <v>24.4</v>
      </c>
      <c r="Z8" s="4">
        <f>'2014'!Z8</f>
        <v>0</v>
      </c>
      <c r="AA8" s="4">
        <f>'2014'!AA8</f>
        <v>0</v>
      </c>
      <c r="AB8" s="4">
        <f>'2014'!AB8</f>
        <v>0</v>
      </c>
      <c r="AC8" s="4">
        <f>'2014'!AC8</f>
        <v>8.6</v>
      </c>
      <c r="AD8" s="4">
        <f>'2014'!AD8</f>
        <v>0</v>
      </c>
      <c r="AE8" s="4">
        <f>'2014'!AE8</f>
        <v>14.9</v>
      </c>
      <c r="AF8" s="4">
        <f>'2014'!AF8</f>
        <v>6.2</v>
      </c>
      <c r="AG8" s="4">
        <f>'2014'!AG8</f>
        <v>0</v>
      </c>
      <c r="AH8" s="4">
        <f>'2014'!AH8</f>
        <v>0</v>
      </c>
    </row>
    <row r="9" spans="1:34" x14ac:dyDescent="0.2">
      <c r="A9" s="19"/>
      <c r="B9" s="8">
        <f t="shared" si="1"/>
        <v>0</v>
      </c>
      <c r="C9" s="9" t="s">
        <v>3</v>
      </c>
      <c r="D9" s="4">
        <f>'2014'!D9</f>
        <v>0</v>
      </c>
      <c r="E9" s="4">
        <f>'2014'!E9</f>
        <v>0</v>
      </c>
      <c r="F9" s="4">
        <f>'2014'!F9</f>
        <v>0</v>
      </c>
      <c r="G9" s="4">
        <f>'2014'!G9</f>
        <v>0</v>
      </c>
      <c r="H9" s="4">
        <f>'2014'!H9</f>
        <v>0</v>
      </c>
      <c r="I9" s="4">
        <f>'2014'!I9</f>
        <v>0</v>
      </c>
      <c r="J9" s="4">
        <f>'2014'!J9</f>
        <v>0</v>
      </c>
      <c r="K9" s="4">
        <f>'2014'!K9</f>
        <v>0</v>
      </c>
      <c r="L9" s="4">
        <f>'2014'!L9</f>
        <v>0</v>
      </c>
      <c r="M9" s="4">
        <f>'2014'!M9</f>
        <v>0</v>
      </c>
      <c r="N9" s="4">
        <f>'2014'!N9</f>
        <v>0</v>
      </c>
      <c r="O9" s="4">
        <f>'2014'!O9</f>
        <v>0</v>
      </c>
      <c r="P9" s="4">
        <f>'2014'!P9</f>
        <v>0</v>
      </c>
      <c r="Q9" s="4">
        <f>'2014'!Q9</f>
        <v>0</v>
      </c>
      <c r="R9" s="4">
        <f>'2014'!R9</f>
        <v>0</v>
      </c>
      <c r="S9" s="4">
        <f>'2014'!S9</f>
        <v>0</v>
      </c>
      <c r="T9" s="4">
        <f>'2014'!T9</f>
        <v>0</v>
      </c>
      <c r="U9" s="4">
        <f>'2014'!U9</f>
        <v>0</v>
      </c>
      <c r="V9" s="4">
        <f>'2014'!V9</f>
        <v>0</v>
      </c>
      <c r="W9" s="4">
        <f>'2014'!W9</f>
        <v>0</v>
      </c>
      <c r="X9" s="4">
        <f>'2014'!X9</f>
        <v>0</v>
      </c>
      <c r="Y9" s="4">
        <f>'2014'!Y9</f>
        <v>0</v>
      </c>
      <c r="Z9" s="4">
        <f>'2014'!Z9</f>
        <v>0</v>
      </c>
      <c r="AA9" s="4">
        <f>'2014'!AA9</f>
        <v>0</v>
      </c>
      <c r="AB9" s="4">
        <f>'2014'!AB9</f>
        <v>0</v>
      </c>
      <c r="AC9" s="4">
        <f>'2014'!AC9</f>
        <v>0</v>
      </c>
      <c r="AD9" s="4">
        <f>'2014'!AD9</f>
        <v>0</v>
      </c>
      <c r="AE9" s="4">
        <f>'2014'!AE9</f>
        <v>0</v>
      </c>
      <c r="AF9" s="4">
        <f>'2014'!AF9</f>
        <v>0</v>
      </c>
      <c r="AG9" s="4">
        <f>'2014'!AG9</f>
        <v>0</v>
      </c>
      <c r="AH9" s="4">
        <f>'2014'!AH9</f>
        <v>0</v>
      </c>
    </row>
    <row r="10" spans="1:34" x14ac:dyDescent="0.2">
      <c r="A10" s="18" t="s">
        <v>6</v>
      </c>
      <c r="B10" s="17">
        <f t="shared" si="1"/>
        <v>220.8</v>
      </c>
      <c r="C10" s="3" t="s">
        <v>2</v>
      </c>
      <c r="D10" s="4">
        <f>'2014'!D10</f>
        <v>13</v>
      </c>
      <c r="E10" s="4">
        <f>'2014'!E10</f>
        <v>10.6</v>
      </c>
      <c r="F10" s="4">
        <f>'2014'!F10</f>
        <v>31.4</v>
      </c>
      <c r="G10" s="4">
        <f>'2014'!G10</f>
        <v>0</v>
      </c>
      <c r="H10" s="4">
        <f>'2014'!H10</f>
        <v>7.9</v>
      </c>
      <c r="I10" s="4">
        <f>'2014'!I10</f>
        <v>0</v>
      </c>
      <c r="J10" s="4">
        <f>'2014'!J10</f>
        <v>0</v>
      </c>
      <c r="K10" s="4">
        <f>'2014'!K10</f>
        <v>0</v>
      </c>
      <c r="L10" s="4">
        <f>'2014'!L10</f>
        <v>26.5</v>
      </c>
      <c r="M10" s="4">
        <f>'2014'!M10</f>
        <v>6.6</v>
      </c>
      <c r="N10" s="4">
        <f>'2014'!N10</f>
        <v>15.4</v>
      </c>
      <c r="O10" s="4">
        <f>'2014'!O10</f>
        <v>0</v>
      </c>
      <c r="P10" s="4">
        <f>'2014'!P10</f>
        <v>0</v>
      </c>
      <c r="Q10" s="4">
        <f>'2014'!Q10</f>
        <v>0</v>
      </c>
      <c r="R10" s="4">
        <f>'2014'!R10</f>
        <v>9.6999999999999993</v>
      </c>
      <c r="S10" s="4">
        <f>'2014'!S10</f>
        <v>0</v>
      </c>
      <c r="T10" s="4">
        <f>'2014'!T10</f>
        <v>0</v>
      </c>
      <c r="U10" s="4">
        <f>'2014'!U10</f>
        <v>21.8</v>
      </c>
      <c r="V10" s="4">
        <f>'2014'!V10</f>
        <v>0</v>
      </c>
      <c r="W10" s="4">
        <f>'2014'!W10</f>
        <v>0</v>
      </c>
      <c r="X10" s="4">
        <f>'2014'!X10</f>
        <v>0</v>
      </c>
      <c r="Y10" s="4">
        <f>'2014'!Y10</f>
        <v>12.5</v>
      </c>
      <c r="Z10" s="4">
        <f>'2014'!Z10</f>
        <v>10.4</v>
      </c>
      <c r="AA10" s="4">
        <f>'2014'!AA10</f>
        <v>30</v>
      </c>
      <c r="AB10" s="4">
        <f>'2014'!AB10</f>
        <v>0</v>
      </c>
      <c r="AC10" s="4">
        <f>'2014'!AC10</f>
        <v>8.3000000000000007</v>
      </c>
      <c r="AD10" s="4">
        <f>'2014'!AD10</f>
        <v>0</v>
      </c>
      <c r="AE10" s="4">
        <f>'2014'!AE10</f>
        <v>0</v>
      </c>
      <c r="AF10" s="4">
        <f>'2014'!AF10</f>
        <v>11.7</v>
      </c>
      <c r="AG10" s="4">
        <f>'2014'!AG10</f>
        <v>5</v>
      </c>
      <c r="AH10" s="4">
        <f>'2014'!AH10</f>
        <v>0</v>
      </c>
    </row>
    <row r="11" spans="1:34" x14ac:dyDescent="0.2">
      <c r="A11" s="19"/>
      <c r="B11" s="8">
        <f t="shared" si="1"/>
        <v>349.52</v>
      </c>
      <c r="C11" s="9" t="s">
        <v>3</v>
      </c>
      <c r="D11" s="4">
        <f>'2014'!D11</f>
        <v>0</v>
      </c>
      <c r="E11" s="4">
        <f>'2014'!E11</f>
        <v>0</v>
      </c>
      <c r="F11" s="4">
        <f>'2014'!F11</f>
        <v>0</v>
      </c>
      <c r="G11" s="4">
        <f>'2014'!G11</f>
        <v>0</v>
      </c>
      <c r="H11" s="4">
        <f>'2014'!H11</f>
        <v>0</v>
      </c>
      <c r="I11" s="4">
        <f>'2014'!I11</f>
        <v>0</v>
      </c>
      <c r="J11" s="4">
        <f>'2014'!J11</f>
        <v>0</v>
      </c>
      <c r="K11" s="4">
        <f>'2014'!K11</f>
        <v>0</v>
      </c>
      <c r="L11" s="4">
        <f>'2014'!L11</f>
        <v>0</v>
      </c>
      <c r="M11" s="4">
        <f>'2014'!M11</f>
        <v>0</v>
      </c>
      <c r="N11" s="4">
        <f>'2014'!N11</f>
        <v>0</v>
      </c>
      <c r="O11" s="4">
        <f>'2014'!O11</f>
        <v>0</v>
      </c>
      <c r="P11" s="4">
        <f>'2014'!P11</f>
        <v>0</v>
      </c>
      <c r="Q11" s="4">
        <f>'2014'!Q11</f>
        <v>0</v>
      </c>
      <c r="R11" s="4">
        <f>'2014'!R11</f>
        <v>0</v>
      </c>
      <c r="S11" s="4">
        <f>'2014'!S11</f>
        <v>0</v>
      </c>
      <c r="T11" s="4">
        <f>'2014'!T11</f>
        <v>0</v>
      </c>
      <c r="U11" s="4">
        <f>'2014'!U11</f>
        <v>0</v>
      </c>
      <c r="V11" s="4">
        <f>'2014'!V11</f>
        <v>0</v>
      </c>
      <c r="W11" s="4">
        <f>'2014'!W11</f>
        <v>0</v>
      </c>
      <c r="X11" s="4">
        <f>'2014'!X11</f>
        <v>0</v>
      </c>
      <c r="Y11" s="4">
        <f>'2014'!Y11</f>
        <v>0</v>
      </c>
      <c r="Z11" s="4">
        <f>'2014'!Z11</f>
        <v>0</v>
      </c>
      <c r="AA11" s="4">
        <f>'2014'!AA11</f>
        <v>349.52</v>
      </c>
      <c r="AB11" s="4">
        <f>'2014'!AB11</f>
        <v>0</v>
      </c>
      <c r="AC11" s="4">
        <f>'2014'!AC11</f>
        <v>0</v>
      </c>
      <c r="AD11" s="4">
        <f>'2014'!AD11</f>
        <v>0</v>
      </c>
      <c r="AE11" s="4">
        <f>'2014'!AE11</f>
        <v>0</v>
      </c>
      <c r="AF11" s="4">
        <f>'2014'!AF11</f>
        <v>0</v>
      </c>
      <c r="AG11" s="4">
        <f>'2014'!AG11</f>
        <v>0</v>
      </c>
      <c r="AH11" s="4">
        <f>'2014'!AH11</f>
        <v>0</v>
      </c>
    </row>
    <row r="12" spans="1:34" x14ac:dyDescent="0.2">
      <c r="A12" s="18" t="s">
        <v>7</v>
      </c>
      <c r="B12" s="17">
        <f>SUM(E12:AH12)</f>
        <v>287.75</v>
      </c>
      <c r="C12" s="3" t="s">
        <v>2</v>
      </c>
      <c r="D12" s="4">
        <f>'2014'!D12</f>
        <v>0</v>
      </c>
      <c r="E12" s="4">
        <f>'2014'!E12</f>
        <v>0</v>
      </c>
      <c r="F12" s="4">
        <f>'2014'!F12</f>
        <v>23.5</v>
      </c>
      <c r="G12" s="4">
        <f>'2014'!G12</f>
        <v>0</v>
      </c>
      <c r="H12" s="4">
        <f>'2014'!H12</f>
        <v>0</v>
      </c>
      <c r="I12" s="4">
        <f>'2014'!I12</f>
        <v>19.95</v>
      </c>
      <c r="J12" s="4">
        <f>'2014'!J12</f>
        <v>0</v>
      </c>
      <c r="K12" s="4">
        <f>'2014'!K12</f>
        <v>7.9</v>
      </c>
      <c r="L12" s="4">
        <f>'2014'!L12</f>
        <v>5</v>
      </c>
      <c r="M12" s="4">
        <f>'2014'!M12</f>
        <v>8</v>
      </c>
      <c r="N12" s="4">
        <f>'2014'!N12</f>
        <v>0</v>
      </c>
      <c r="O12" s="4">
        <f>'2014'!O12</f>
        <v>0</v>
      </c>
      <c r="P12" s="4">
        <f>'2014'!P12</f>
        <v>40.299999999999997</v>
      </c>
      <c r="Q12" s="4">
        <f>'2014'!Q12</f>
        <v>35.299999999999997</v>
      </c>
      <c r="R12" s="4">
        <f>'2014'!R12</f>
        <v>19.399999999999999</v>
      </c>
      <c r="S12" s="4">
        <f>'2014'!S12</f>
        <v>7.2</v>
      </c>
      <c r="T12" s="4">
        <f>'2014'!T12</f>
        <v>14.3</v>
      </c>
      <c r="U12" s="4">
        <f>'2014'!U12</f>
        <v>0</v>
      </c>
      <c r="V12" s="4">
        <f>'2014'!V12</f>
        <v>0</v>
      </c>
      <c r="W12" s="4">
        <f>'2014'!W12</f>
        <v>14.8</v>
      </c>
      <c r="X12" s="4">
        <f>'2014'!X12</f>
        <v>0</v>
      </c>
      <c r="Y12" s="4">
        <f>'2014'!Y12</f>
        <v>0</v>
      </c>
      <c r="Z12" s="4">
        <f>'2014'!Z12</f>
        <v>13.8</v>
      </c>
      <c r="AA12" s="4">
        <f>'2014'!AA12</f>
        <v>18.600000000000001</v>
      </c>
      <c r="AB12" s="4">
        <f>'2014'!AB12</f>
        <v>0</v>
      </c>
      <c r="AC12" s="4">
        <f>'2014'!AC12</f>
        <v>0</v>
      </c>
      <c r="AD12" s="4">
        <f>'2014'!AD12</f>
        <v>44.7</v>
      </c>
      <c r="AE12" s="4">
        <f>'2014'!AE12</f>
        <v>0</v>
      </c>
      <c r="AF12" s="4">
        <f>'2014'!AF12</f>
        <v>6.2</v>
      </c>
      <c r="AG12" s="4">
        <f>'2014'!AG12</f>
        <v>0</v>
      </c>
      <c r="AH12" s="4">
        <f>'2014'!AH12</f>
        <v>8.8000000000000007</v>
      </c>
    </row>
    <row r="13" spans="1:34" x14ac:dyDescent="0.2">
      <c r="A13" s="19"/>
      <c r="B13" s="8">
        <f t="shared" ref="B13:B27" si="2">SUM(D13:AH13)</f>
        <v>0</v>
      </c>
      <c r="C13" s="9" t="s">
        <v>3</v>
      </c>
      <c r="D13" s="4">
        <f>'2014'!D13</f>
        <v>0</v>
      </c>
      <c r="E13" s="4">
        <f>'2014'!E13</f>
        <v>0</v>
      </c>
      <c r="F13" s="4">
        <f>'2014'!F13</f>
        <v>0</v>
      </c>
      <c r="G13" s="4">
        <f>'2014'!G13</f>
        <v>0</v>
      </c>
      <c r="H13" s="4">
        <f>'2014'!H13</f>
        <v>0</v>
      </c>
      <c r="I13" s="4">
        <f>'2014'!I13</f>
        <v>0</v>
      </c>
      <c r="J13" s="4">
        <f>'2014'!J13</f>
        <v>0</v>
      </c>
      <c r="K13" s="4">
        <f>'2014'!K13</f>
        <v>0</v>
      </c>
      <c r="L13" s="4">
        <f>'2014'!L13</f>
        <v>0</v>
      </c>
      <c r="M13" s="4">
        <f>'2014'!M13</f>
        <v>0</v>
      </c>
      <c r="N13" s="4">
        <f>'2014'!N13</f>
        <v>0</v>
      </c>
      <c r="O13" s="4">
        <f>'2014'!O13</f>
        <v>0</v>
      </c>
      <c r="P13" s="4">
        <f>'2014'!P13</f>
        <v>0</v>
      </c>
      <c r="Q13" s="4">
        <f>'2014'!Q13</f>
        <v>0</v>
      </c>
      <c r="R13" s="4">
        <f>'2014'!R13</f>
        <v>0</v>
      </c>
      <c r="S13" s="4">
        <f>'2014'!S13</f>
        <v>0</v>
      </c>
      <c r="T13" s="4">
        <f>'2014'!T13</f>
        <v>0</v>
      </c>
      <c r="U13" s="4">
        <f>'2014'!U13</f>
        <v>0</v>
      </c>
      <c r="V13" s="4">
        <f>'2014'!V13</f>
        <v>0</v>
      </c>
      <c r="W13" s="4">
        <f>'2014'!W13</f>
        <v>0</v>
      </c>
      <c r="X13" s="4">
        <f>'2014'!X13</f>
        <v>0</v>
      </c>
      <c r="Y13" s="4">
        <f>'2014'!Y13</f>
        <v>0</v>
      </c>
      <c r="Z13" s="4">
        <f>'2014'!Z13</f>
        <v>0</v>
      </c>
      <c r="AA13" s="4">
        <f>'2014'!AA13</f>
        <v>0</v>
      </c>
      <c r="AB13" s="4">
        <f>'2014'!AB13</f>
        <v>0</v>
      </c>
      <c r="AC13" s="4">
        <f>'2014'!AC13</f>
        <v>0</v>
      </c>
      <c r="AD13" s="4">
        <f>'2014'!AD13</f>
        <v>0</v>
      </c>
      <c r="AE13" s="4">
        <f>'2014'!AE13</f>
        <v>0</v>
      </c>
      <c r="AF13" s="4">
        <f>'2014'!AF13</f>
        <v>0</v>
      </c>
      <c r="AG13" s="4">
        <f>'2014'!AG13</f>
        <v>0</v>
      </c>
      <c r="AH13" s="4">
        <f>'2014'!AH13</f>
        <v>0</v>
      </c>
    </row>
    <row r="14" spans="1:34" x14ac:dyDescent="0.2">
      <c r="A14" s="18" t="s">
        <v>8</v>
      </c>
      <c r="B14" s="17">
        <f t="shared" si="2"/>
        <v>320.50000000000006</v>
      </c>
      <c r="C14" s="3" t="s">
        <v>2</v>
      </c>
      <c r="D14" s="4">
        <f>'2014'!D14</f>
        <v>0</v>
      </c>
      <c r="E14" s="4">
        <f>'2014'!E14</f>
        <v>0</v>
      </c>
      <c r="F14" s="4">
        <f>'2014'!F14</f>
        <v>6.5</v>
      </c>
      <c r="G14" s="4">
        <f>'2014'!G14</f>
        <v>45</v>
      </c>
      <c r="H14" s="4">
        <f>'2014'!H14</f>
        <v>79.400000000000006</v>
      </c>
      <c r="I14" s="4">
        <f>'2014'!I14</f>
        <v>0</v>
      </c>
      <c r="J14" s="4">
        <f>'2014'!J14</f>
        <v>7.4</v>
      </c>
      <c r="K14" s="4">
        <f>'2014'!K14</f>
        <v>0</v>
      </c>
      <c r="L14" s="4">
        <f>'2014'!L14</f>
        <v>0</v>
      </c>
      <c r="M14" s="4">
        <f>'2014'!M14</f>
        <v>0</v>
      </c>
      <c r="N14" s="4">
        <f>'2014'!N14</f>
        <v>8</v>
      </c>
      <c r="O14" s="4">
        <f>'2014'!O14</f>
        <v>0</v>
      </c>
      <c r="P14" s="4">
        <f>'2014'!P14</f>
        <v>0</v>
      </c>
      <c r="Q14" s="4">
        <f>'2014'!Q14</f>
        <v>6</v>
      </c>
      <c r="R14" s="4">
        <f>'2014'!R14</f>
        <v>0</v>
      </c>
      <c r="S14" s="4">
        <f>'2014'!S14</f>
        <v>0</v>
      </c>
      <c r="T14" s="4">
        <f>'2014'!T14</f>
        <v>0</v>
      </c>
      <c r="U14" s="4">
        <f>'2014'!U14</f>
        <v>30.8</v>
      </c>
      <c r="V14" s="4">
        <f>'2014'!V14</f>
        <v>8.4</v>
      </c>
      <c r="W14" s="4">
        <f>'2014'!W14</f>
        <v>0</v>
      </c>
      <c r="X14" s="4">
        <f>'2014'!X14</f>
        <v>8.4</v>
      </c>
      <c r="Y14" s="4">
        <f>'2014'!Y14</f>
        <v>0</v>
      </c>
      <c r="Z14" s="4">
        <f>'2014'!Z14</f>
        <v>0</v>
      </c>
      <c r="AA14" s="4">
        <f>'2014'!AA14</f>
        <v>54</v>
      </c>
      <c r="AB14" s="4">
        <f>'2014'!AB14</f>
        <v>0</v>
      </c>
      <c r="AC14" s="4">
        <f>'2014'!AC14</f>
        <v>11.5</v>
      </c>
      <c r="AD14" s="4">
        <f>'2014'!AD14</f>
        <v>15</v>
      </c>
      <c r="AE14" s="4">
        <f>'2014'!AE14</f>
        <v>40.1</v>
      </c>
      <c r="AF14" s="4">
        <f>'2014'!AF14</f>
        <v>0</v>
      </c>
      <c r="AG14" s="4">
        <f>'2014'!AG14</f>
        <v>0</v>
      </c>
      <c r="AH14" s="4">
        <f>'2014'!AH14</f>
        <v>0</v>
      </c>
    </row>
    <row r="15" spans="1:34" x14ac:dyDescent="0.2">
      <c r="A15" s="19"/>
      <c r="B15" s="8">
        <f t="shared" si="2"/>
        <v>0</v>
      </c>
      <c r="C15" s="9" t="s">
        <v>3</v>
      </c>
      <c r="D15" s="4">
        <f>'2014'!D15</f>
        <v>0</v>
      </c>
      <c r="E15" s="4">
        <f>'2014'!E15</f>
        <v>0</v>
      </c>
      <c r="F15" s="4">
        <f>'2014'!F15</f>
        <v>0</v>
      </c>
      <c r="G15" s="4">
        <f>'2014'!G15</f>
        <v>0</v>
      </c>
      <c r="H15" s="4">
        <f>'2014'!H15-156</f>
        <v>0</v>
      </c>
      <c r="I15" s="4">
        <f>'2014'!I15</f>
        <v>0</v>
      </c>
      <c r="J15" s="4">
        <f>'2014'!J15</f>
        <v>0</v>
      </c>
      <c r="K15" s="4">
        <f>'2014'!K15</f>
        <v>0</v>
      </c>
      <c r="L15" s="4">
        <f>'2014'!L15</f>
        <v>0</v>
      </c>
      <c r="M15" s="4">
        <f>'2014'!M15</f>
        <v>0</v>
      </c>
      <c r="N15" s="4">
        <f>'2014'!N15</f>
        <v>0</v>
      </c>
      <c r="O15" s="4">
        <f>'2014'!O15</f>
        <v>0</v>
      </c>
      <c r="P15" s="4">
        <f>'2014'!P15</f>
        <v>0</v>
      </c>
      <c r="Q15" s="4">
        <f>'2014'!Q15</f>
        <v>0</v>
      </c>
      <c r="R15" s="4">
        <f>'2014'!R15</f>
        <v>0</v>
      </c>
      <c r="S15" s="4">
        <f>'2014'!S15</f>
        <v>0</v>
      </c>
      <c r="T15" s="4">
        <f>'2014'!T15</f>
        <v>0</v>
      </c>
      <c r="U15" s="4">
        <f>'2014'!U15</f>
        <v>0</v>
      </c>
      <c r="V15" s="4">
        <f>'2014'!V15</f>
        <v>0</v>
      </c>
      <c r="W15" s="4">
        <f>'2014'!W15</f>
        <v>0</v>
      </c>
      <c r="X15" s="4">
        <f>'2014'!X15</f>
        <v>0</v>
      </c>
      <c r="Y15" s="4">
        <f>'2014'!Y15</f>
        <v>0</v>
      </c>
      <c r="Z15" s="4">
        <f>'2014'!Z15</f>
        <v>0</v>
      </c>
      <c r="AA15" s="4">
        <f>'2014'!AA15</f>
        <v>0</v>
      </c>
      <c r="AB15" s="4">
        <f>'2014'!AB15</f>
        <v>0</v>
      </c>
      <c r="AC15" s="4">
        <f>'2014'!AC15</f>
        <v>0</v>
      </c>
      <c r="AD15" s="4">
        <f>'2014'!AD15</f>
        <v>0</v>
      </c>
      <c r="AE15" s="4">
        <f>'2014'!AE15</f>
        <v>0</v>
      </c>
      <c r="AF15" s="4">
        <f>'2014'!AF15</f>
        <v>0</v>
      </c>
      <c r="AG15" s="4">
        <f>'2014'!AG15</f>
        <v>0</v>
      </c>
      <c r="AH15" s="4">
        <f>'2014'!AH15</f>
        <v>0</v>
      </c>
    </row>
    <row r="16" spans="1:34" x14ac:dyDescent="0.2">
      <c r="A16" s="18" t="s">
        <v>9</v>
      </c>
      <c r="B16" s="17">
        <f t="shared" si="2"/>
        <v>209</v>
      </c>
      <c r="C16" s="3" t="s">
        <v>2</v>
      </c>
      <c r="D16" s="4">
        <f>'2014'!D16</f>
        <v>0</v>
      </c>
      <c r="E16" s="4">
        <f>'2014'!E16</f>
        <v>13.2</v>
      </c>
      <c r="F16" s="4">
        <f>'2014'!F16</f>
        <v>14.7</v>
      </c>
      <c r="G16" s="4">
        <f>'2014'!G16</f>
        <v>0</v>
      </c>
      <c r="H16" s="4">
        <f>'2014'!H16</f>
        <v>24.8</v>
      </c>
      <c r="I16" s="4">
        <f>'2014'!I16</f>
        <v>0</v>
      </c>
      <c r="J16" s="4">
        <f>'2014'!J16</f>
        <v>16.399999999999999</v>
      </c>
      <c r="K16" s="4">
        <f>'2014'!K16</f>
        <v>0</v>
      </c>
      <c r="L16" s="4">
        <f>'2014'!L16</f>
        <v>24.6</v>
      </c>
      <c r="M16" s="4">
        <f>'2014'!M16</f>
        <v>12</v>
      </c>
      <c r="N16" s="4">
        <f>'2014'!N16</f>
        <v>26</v>
      </c>
      <c r="O16" s="4">
        <f>'2014'!O16</f>
        <v>6.3</v>
      </c>
      <c r="P16" s="4">
        <f>'2014'!P16</f>
        <v>0</v>
      </c>
      <c r="Q16" s="4">
        <f>'2014'!Q16</f>
        <v>0</v>
      </c>
      <c r="R16" s="4">
        <f>'2014'!R16</f>
        <v>0</v>
      </c>
      <c r="S16" s="4">
        <f>'2014'!S16</f>
        <v>0</v>
      </c>
      <c r="T16" s="4">
        <f>'2014'!T16</f>
        <v>18</v>
      </c>
      <c r="U16" s="4">
        <f>'2014'!U16</f>
        <v>6.7</v>
      </c>
      <c r="V16" s="4">
        <f>'2014'!V16</f>
        <v>0</v>
      </c>
      <c r="W16" s="4">
        <f>'2014'!W16</f>
        <v>0</v>
      </c>
      <c r="X16" s="4">
        <f>'2014'!X16</f>
        <v>7.8</v>
      </c>
      <c r="Y16" s="4">
        <f>'2014'!Y16</f>
        <v>0</v>
      </c>
      <c r="Z16" s="4">
        <f>'2014'!Z16</f>
        <v>6</v>
      </c>
      <c r="AA16" s="4">
        <f>'2014'!AA16</f>
        <v>0</v>
      </c>
      <c r="AB16" s="4">
        <f>'2014'!AB16</f>
        <v>0</v>
      </c>
      <c r="AC16" s="4">
        <f>'2014'!AC16</f>
        <v>10.5</v>
      </c>
      <c r="AD16" s="4">
        <f>'2014'!AD16</f>
        <v>0</v>
      </c>
      <c r="AE16" s="4">
        <f>'2014'!AE16</f>
        <v>0</v>
      </c>
      <c r="AF16" s="4">
        <f>'2014'!AF16</f>
        <v>0</v>
      </c>
      <c r="AG16" s="4">
        <f>'2014'!AG16</f>
        <v>22</v>
      </c>
      <c r="AH16" s="4">
        <f>'2014'!AH16</f>
        <v>0</v>
      </c>
    </row>
    <row r="17" spans="1:34" x14ac:dyDescent="0.2">
      <c r="A17" s="19"/>
      <c r="B17" s="8">
        <f t="shared" si="2"/>
        <v>428.17</v>
      </c>
      <c r="C17" s="9" t="s">
        <v>3</v>
      </c>
      <c r="D17" s="4">
        <f>'2014'!D17</f>
        <v>0</v>
      </c>
      <c r="E17" s="4">
        <f>'2014'!E17</f>
        <v>0</v>
      </c>
      <c r="F17" s="4">
        <f>'2014'!F17</f>
        <v>0</v>
      </c>
      <c r="G17" s="4">
        <f>'2014'!G17</f>
        <v>0</v>
      </c>
      <c r="H17" s="4">
        <f>'2014'!H17</f>
        <v>0</v>
      </c>
      <c r="I17" s="4">
        <f>'2014'!I17</f>
        <v>0</v>
      </c>
      <c r="J17" s="4">
        <f>'2014'!J17</f>
        <v>0</v>
      </c>
      <c r="K17" s="4">
        <f>'2014'!K17</f>
        <v>0</v>
      </c>
      <c r="L17" s="4">
        <f>'2014'!L17</f>
        <v>0</v>
      </c>
      <c r="M17" s="4">
        <f>'2014'!M17</f>
        <v>0</v>
      </c>
      <c r="N17" s="4">
        <f>'2014'!N17</f>
        <v>0</v>
      </c>
      <c r="O17" s="4">
        <f>'2014'!O17</f>
        <v>0</v>
      </c>
      <c r="P17" s="4">
        <f>'2014'!P17</f>
        <v>0</v>
      </c>
      <c r="Q17" s="4">
        <f>'2014'!Q17</f>
        <v>0</v>
      </c>
      <c r="R17" s="4">
        <f>'2014'!R17</f>
        <v>0</v>
      </c>
      <c r="S17" s="4">
        <f>'2014'!S17</f>
        <v>0</v>
      </c>
      <c r="T17" s="4">
        <f>'2014'!T17</f>
        <v>0</v>
      </c>
      <c r="U17" s="4">
        <f>'2014'!U17</f>
        <v>0</v>
      </c>
      <c r="V17" s="4">
        <f>'2014'!V17</f>
        <v>0</v>
      </c>
      <c r="W17" s="4">
        <f>'2014'!W17</f>
        <v>0</v>
      </c>
      <c r="X17" s="4">
        <f>'2014'!X17</f>
        <v>428.17</v>
      </c>
      <c r="Y17" s="4">
        <f>'2014'!Y17</f>
        <v>0</v>
      </c>
      <c r="Z17" s="4">
        <f>'2014'!Z17</f>
        <v>0</v>
      </c>
      <c r="AA17" s="4">
        <f>'2014'!AA17</f>
        <v>0</v>
      </c>
      <c r="AB17" s="4">
        <f>'2014'!AB17</f>
        <v>0</v>
      </c>
      <c r="AC17" s="4">
        <f>'2014'!AC17</f>
        <v>0</v>
      </c>
      <c r="AD17" s="4">
        <f>'2014'!AD17</f>
        <v>0</v>
      </c>
      <c r="AE17" s="4">
        <f>'2014'!AE17</f>
        <v>0</v>
      </c>
      <c r="AF17" s="4">
        <f>'2014'!AF17</f>
        <v>0</v>
      </c>
      <c r="AG17" s="4">
        <f>'2014'!AG17</f>
        <v>0</v>
      </c>
      <c r="AH17" s="4">
        <f>'2014'!AH17</f>
        <v>0</v>
      </c>
    </row>
    <row r="18" spans="1:34" x14ac:dyDescent="0.2">
      <c r="A18" s="18" t="s">
        <v>10</v>
      </c>
      <c r="B18" s="17">
        <f t="shared" si="2"/>
        <v>23.7</v>
      </c>
      <c r="C18" s="3" t="s">
        <v>2</v>
      </c>
      <c r="D18" s="4">
        <f>'2014'!D18</f>
        <v>0</v>
      </c>
      <c r="E18" s="4">
        <f>'2014'!E18</f>
        <v>17</v>
      </c>
      <c r="F18" s="4">
        <f>'2014'!F18</f>
        <v>0</v>
      </c>
      <c r="G18" s="4">
        <f>'2014'!G18</f>
        <v>0</v>
      </c>
      <c r="H18" s="4">
        <f>'2014'!H18</f>
        <v>0</v>
      </c>
      <c r="I18" s="4">
        <f>'2014'!I18</f>
        <v>0</v>
      </c>
      <c r="J18" s="4">
        <f>'2014'!J18</f>
        <v>6.7</v>
      </c>
      <c r="K18" s="4">
        <f>'2014'!K18</f>
        <v>0</v>
      </c>
      <c r="L18" s="4">
        <f>'2014'!L18</f>
        <v>0</v>
      </c>
      <c r="M18" s="4">
        <f>'2014'!M18</f>
        <v>0</v>
      </c>
      <c r="N18" s="4">
        <f>'2014'!N18</f>
        <v>0</v>
      </c>
      <c r="O18" s="4">
        <f>'2014'!O18</f>
        <v>0</v>
      </c>
      <c r="P18" s="4">
        <f>'2014'!P18</f>
        <v>0</v>
      </c>
      <c r="Q18" s="4">
        <f>'2014'!Q18</f>
        <v>0</v>
      </c>
      <c r="R18" s="4">
        <f>'2014'!R18</f>
        <v>0</v>
      </c>
      <c r="S18" s="4">
        <f>'2014'!S18</f>
        <v>0</v>
      </c>
      <c r="T18" s="4">
        <f>'2014'!T18</f>
        <v>0</v>
      </c>
      <c r="U18" s="4">
        <f>'2014'!U18</f>
        <v>0</v>
      </c>
      <c r="V18" s="4">
        <f>'2014'!V18</f>
        <v>0</v>
      </c>
      <c r="W18" s="4">
        <f>'2014'!W18</f>
        <v>0</v>
      </c>
      <c r="X18" s="4">
        <f>'2014'!X18</f>
        <v>0</v>
      </c>
      <c r="Y18" s="4">
        <f>'2014'!Y18</f>
        <v>0</v>
      </c>
      <c r="Z18" s="4">
        <f>'2014'!Z18</f>
        <v>0</v>
      </c>
      <c r="AA18" s="4">
        <f>'2014'!AA18</f>
        <v>0</v>
      </c>
      <c r="AB18" s="4">
        <f>'2014'!AB18</f>
        <v>0</v>
      </c>
      <c r="AC18" s="4">
        <f>'2014'!AC18</f>
        <v>0</v>
      </c>
      <c r="AD18" s="4">
        <f>'2014'!AD18</f>
        <v>0</v>
      </c>
      <c r="AE18" s="4">
        <f>'2014'!AE18</f>
        <v>0</v>
      </c>
      <c r="AF18" s="4">
        <f>'2014'!AF18</f>
        <v>0</v>
      </c>
      <c r="AG18" s="4">
        <f>'2014'!AG18</f>
        <v>0</v>
      </c>
      <c r="AH18" s="4">
        <f>'2014'!AH18</f>
        <v>0</v>
      </c>
    </row>
    <row r="19" spans="1:34" x14ac:dyDescent="0.2">
      <c r="A19" s="19"/>
      <c r="B19" s="8">
        <f t="shared" si="2"/>
        <v>0</v>
      </c>
      <c r="C19" s="9" t="s">
        <v>3</v>
      </c>
      <c r="D19" s="4">
        <f>'2014'!D19</f>
        <v>0</v>
      </c>
      <c r="E19" s="4">
        <f>'2014'!E19</f>
        <v>0</v>
      </c>
      <c r="F19" s="4">
        <f>'2014'!F19</f>
        <v>0</v>
      </c>
      <c r="G19" s="4">
        <f>'2014'!G19</f>
        <v>0</v>
      </c>
      <c r="H19" s="4">
        <f>'2014'!H19</f>
        <v>0</v>
      </c>
      <c r="I19" s="4">
        <f>'2014'!I19</f>
        <v>0</v>
      </c>
      <c r="J19" s="4">
        <f>'2014'!J19</f>
        <v>0</v>
      </c>
      <c r="K19" s="4">
        <f>'2014'!K19</f>
        <v>0</v>
      </c>
      <c r="L19" s="4">
        <f>'2014'!L19</f>
        <v>0</v>
      </c>
      <c r="M19" s="4">
        <f>'2014'!M19</f>
        <v>0</v>
      </c>
      <c r="N19" s="4">
        <f>'2014'!N19</f>
        <v>0</v>
      </c>
      <c r="O19" s="4">
        <f>'2014'!O19</f>
        <v>0</v>
      </c>
      <c r="P19" s="4">
        <f>'2014'!P19</f>
        <v>0</v>
      </c>
      <c r="Q19" s="4">
        <f>'2014'!Q19</f>
        <v>0</v>
      </c>
      <c r="R19" s="4">
        <f>'2014'!R19</f>
        <v>0</v>
      </c>
      <c r="S19" s="4">
        <f>'2014'!S19</f>
        <v>0</v>
      </c>
      <c r="T19" s="4">
        <f>'2014'!T19</f>
        <v>0</v>
      </c>
      <c r="U19" s="4">
        <f>'2014'!U19</f>
        <v>0</v>
      </c>
      <c r="V19" s="4">
        <f>'2014'!V19</f>
        <v>0</v>
      </c>
      <c r="W19" s="4">
        <f>'2014'!W19</f>
        <v>0</v>
      </c>
      <c r="X19" s="4">
        <f>'2014'!X19</f>
        <v>0</v>
      </c>
      <c r="Y19" s="4">
        <f>'2014'!Y19</f>
        <v>0</v>
      </c>
      <c r="Z19" s="4">
        <f>'2014'!Z19</f>
        <v>0</v>
      </c>
      <c r="AA19" s="4">
        <f>'2014'!AA19</f>
        <v>0</v>
      </c>
      <c r="AB19" s="4">
        <f>'2014'!AB19</f>
        <v>0</v>
      </c>
      <c r="AC19" s="4">
        <f>'2014'!AC19</f>
        <v>0</v>
      </c>
      <c r="AD19" s="4">
        <f>'2014'!AD19</f>
        <v>0</v>
      </c>
      <c r="AE19" s="4">
        <f>'2014'!AE19</f>
        <v>0</v>
      </c>
      <c r="AF19" s="4">
        <f>'2014'!AF19</f>
        <v>0</v>
      </c>
      <c r="AG19" s="4">
        <f>'2014'!AG19</f>
        <v>0</v>
      </c>
      <c r="AH19" s="4">
        <f>'2014'!AH19</f>
        <v>0</v>
      </c>
    </row>
    <row r="20" spans="1:34" x14ac:dyDescent="0.2">
      <c r="A20" s="18" t="s">
        <v>11</v>
      </c>
      <c r="B20" s="17">
        <f t="shared" si="2"/>
        <v>268.5</v>
      </c>
      <c r="C20" s="3" t="s">
        <v>2</v>
      </c>
      <c r="D20" s="4">
        <f>'2014'!D20</f>
        <v>0</v>
      </c>
      <c r="E20" s="4">
        <f>'2014'!E20</f>
        <v>56.6</v>
      </c>
      <c r="F20" s="4">
        <f>'2014'!F20</f>
        <v>46.4</v>
      </c>
      <c r="G20" s="4">
        <f>'2014'!G20</f>
        <v>0</v>
      </c>
      <c r="H20" s="4">
        <f>'2014'!H20</f>
        <v>16.899999999999999</v>
      </c>
      <c r="I20" s="4">
        <f>'2014'!I20</f>
        <v>15</v>
      </c>
      <c r="J20" s="4">
        <f>'2014'!J20</f>
        <v>0</v>
      </c>
      <c r="K20" s="4">
        <f>'2014'!K20</f>
        <v>0</v>
      </c>
      <c r="L20" s="4">
        <f>'2014'!L20</f>
        <v>0</v>
      </c>
      <c r="M20" s="4">
        <f>'2014'!M20</f>
        <v>6.5</v>
      </c>
      <c r="N20" s="4">
        <f>'2014'!N20</f>
        <v>9.6</v>
      </c>
      <c r="O20" s="4">
        <f>'2014'!O20</f>
        <v>6.6</v>
      </c>
      <c r="P20" s="4">
        <f>'2014'!P20</f>
        <v>0</v>
      </c>
      <c r="Q20" s="4">
        <f>'2014'!Q20</f>
        <v>0</v>
      </c>
      <c r="R20" s="4">
        <f>'2014'!R20</f>
        <v>0</v>
      </c>
      <c r="S20" s="4">
        <f>'2014'!S20</f>
        <v>6.2</v>
      </c>
      <c r="T20" s="4">
        <f>'2014'!T20</f>
        <v>0</v>
      </c>
      <c r="U20" s="4">
        <f>'2014'!U20</f>
        <v>22</v>
      </c>
      <c r="V20" s="4">
        <f>'2014'!V20</f>
        <v>0</v>
      </c>
      <c r="W20" s="4">
        <f>'2014'!W20</f>
        <v>26.4</v>
      </c>
      <c r="X20" s="4">
        <f>'2014'!X20</f>
        <v>0</v>
      </c>
      <c r="Y20" s="4">
        <f>'2014'!Y20</f>
        <v>0</v>
      </c>
      <c r="Z20" s="4">
        <f>'2014'!Z20</f>
        <v>0</v>
      </c>
      <c r="AA20" s="4">
        <f>'2014'!AA20</f>
        <v>6.7</v>
      </c>
      <c r="AB20" s="4">
        <f>'2014'!AB20</f>
        <v>0</v>
      </c>
      <c r="AC20" s="4">
        <f>'2014'!AC20</f>
        <v>0</v>
      </c>
      <c r="AD20" s="4">
        <f>'2014'!AD20</f>
        <v>30.8</v>
      </c>
      <c r="AE20" s="4">
        <f>'2014'!AE20</f>
        <v>0</v>
      </c>
      <c r="AF20" s="4">
        <f>'2014'!AF20</f>
        <v>7.5</v>
      </c>
      <c r="AG20" s="4">
        <f>'2014'!AG20</f>
        <v>11.3</v>
      </c>
      <c r="AH20" s="4">
        <f>'2014'!AH20</f>
        <v>0</v>
      </c>
    </row>
    <row r="21" spans="1:34" x14ac:dyDescent="0.2">
      <c r="A21" s="19"/>
      <c r="B21" s="8">
        <f t="shared" si="2"/>
        <v>78</v>
      </c>
      <c r="C21" s="9" t="s">
        <v>3</v>
      </c>
      <c r="D21" s="4">
        <f>'2014'!D21</f>
        <v>0</v>
      </c>
      <c r="E21" s="4">
        <f>'2014'!E21</f>
        <v>0</v>
      </c>
      <c r="F21" s="4">
        <f>'2014'!F21</f>
        <v>0</v>
      </c>
      <c r="G21" s="4">
        <f>'2014'!G21</f>
        <v>0</v>
      </c>
      <c r="H21" s="4">
        <f>'2014'!H21</f>
        <v>0</v>
      </c>
      <c r="I21" s="4">
        <f>'2014'!I21</f>
        <v>0</v>
      </c>
      <c r="J21" s="4">
        <f>'2014'!J21</f>
        <v>0</v>
      </c>
      <c r="K21" s="4">
        <f>'2014'!K21</f>
        <v>0</v>
      </c>
      <c r="L21" s="4">
        <f>'2014'!L21</f>
        <v>0</v>
      </c>
      <c r="M21" s="4">
        <f>'2014'!M21</f>
        <v>0</v>
      </c>
      <c r="N21" s="4">
        <f>'2014'!N21</f>
        <v>0</v>
      </c>
      <c r="O21" s="4">
        <f>'2014'!O21</f>
        <v>0</v>
      </c>
      <c r="P21" s="4">
        <f>'2014'!P21</f>
        <v>0</v>
      </c>
      <c r="Q21" s="4">
        <f>'2014'!Q21</f>
        <v>0</v>
      </c>
      <c r="R21" s="4">
        <f>'2014'!R21</f>
        <v>78</v>
      </c>
      <c r="S21" s="4">
        <f>'2014'!S21</f>
        <v>0</v>
      </c>
      <c r="T21" s="4">
        <f>'2014'!T21</f>
        <v>0</v>
      </c>
      <c r="U21" s="4">
        <f>'2014'!U21</f>
        <v>0</v>
      </c>
      <c r="V21" s="4">
        <f>'2014'!V21</f>
        <v>0</v>
      </c>
      <c r="W21" s="4">
        <f>'2014'!W21</f>
        <v>0</v>
      </c>
      <c r="X21" s="4">
        <f>'2014'!X21</f>
        <v>0</v>
      </c>
      <c r="Y21" s="4">
        <f>'2014'!Y21</f>
        <v>0</v>
      </c>
      <c r="Z21" s="4">
        <f>'2014'!Z21</f>
        <v>0</v>
      </c>
      <c r="AA21" s="4">
        <f>'2014'!AA21</f>
        <v>0</v>
      </c>
      <c r="AB21" s="4">
        <f>'2014'!AB21</f>
        <v>0</v>
      </c>
      <c r="AC21" s="4">
        <f>'2014'!AC21</f>
        <v>0</v>
      </c>
      <c r="AD21" s="4">
        <f>'2014'!AD21</f>
        <v>0</v>
      </c>
      <c r="AE21" s="4">
        <f>'2014'!AE21</f>
        <v>0</v>
      </c>
      <c r="AF21" s="4">
        <f>'2014'!AF21</f>
        <v>0</v>
      </c>
      <c r="AG21" s="4">
        <f>'2014'!AG21</f>
        <v>0</v>
      </c>
      <c r="AH21" s="4">
        <f>'2014'!AH21</f>
        <v>0</v>
      </c>
    </row>
    <row r="22" spans="1:34" x14ac:dyDescent="0.2">
      <c r="A22" s="18" t="s">
        <v>12</v>
      </c>
      <c r="B22" s="17">
        <f t="shared" si="2"/>
        <v>388.3</v>
      </c>
      <c r="C22" s="3" t="s">
        <v>2</v>
      </c>
      <c r="D22" s="4">
        <f>'2014'!D22</f>
        <v>48</v>
      </c>
      <c r="E22" s="4">
        <f>'2014'!E22</f>
        <v>0</v>
      </c>
      <c r="F22" s="4">
        <f>'2014'!F22</f>
        <v>0</v>
      </c>
      <c r="G22" s="4">
        <f>'2014'!G22</f>
        <v>6</v>
      </c>
      <c r="H22" s="4">
        <f>'2014'!H22</f>
        <v>0</v>
      </c>
      <c r="I22" s="4">
        <f>'2014'!I22</f>
        <v>6.5</v>
      </c>
      <c r="J22" s="4">
        <f>'2014'!J22</f>
        <v>10.6</v>
      </c>
      <c r="K22" s="4">
        <f>'2014'!K22</f>
        <v>26.4</v>
      </c>
      <c r="L22" s="4">
        <f>'2014'!L22</f>
        <v>39.6</v>
      </c>
      <c r="M22" s="4">
        <f>'2014'!M22</f>
        <v>10.7</v>
      </c>
      <c r="N22" s="4">
        <f>'2014'!N22</f>
        <v>0</v>
      </c>
      <c r="O22" s="4">
        <f>'2014'!O22</f>
        <v>0</v>
      </c>
      <c r="P22" s="4">
        <f>'2014'!P22</f>
        <v>0</v>
      </c>
      <c r="Q22" s="4">
        <f>'2014'!Q22</f>
        <v>0</v>
      </c>
      <c r="R22" s="4">
        <f>'2014'!R22</f>
        <v>8</v>
      </c>
      <c r="S22" s="4">
        <f>'2014'!S22</f>
        <v>6.2</v>
      </c>
      <c r="T22" s="4">
        <f>'2014'!T22</f>
        <v>3.8</v>
      </c>
      <c r="U22" s="4">
        <f>'2014'!U22</f>
        <v>12.9</v>
      </c>
      <c r="V22" s="4">
        <f>'2014'!V22</f>
        <v>0</v>
      </c>
      <c r="W22" s="4">
        <f>'2014'!W22</f>
        <v>4.2</v>
      </c>
      <c r="X22" s="4">
        <f>'2014'!X22</f>
        <v>9.8000000000000007</v>
      </c>
      <c r="Y22" s="4">
        <f>'2014'!Y22</f>
        <v>4.5999999999999996</v>
      </c>
      <c r="Z22" s="4">
        <f>'2014'!Z22</f>
        <v>38.700000000000003</v>
      </c>
      <c r="AA22" s="4">
        <f>'2014'!AA22</f>
        <v>58.6</v>
      </c>
      <c r="AB22" s="4">
        <f>'2014'!AB22</f>
        <v>31.5</v>
      </c>
      <c r="AC22" s="4">
        <f>'2014'!AC22</f>
        <v>0</v>
      </c>
      <c r="AD22" s="4">
        <f>'2014'!AD22</f>
        <v>0</v>
      </c>
      <c r="AE22" s="4">
        <f>'2014'!AE22</f>
        <v>30</v>
      </c>
      <c r="AF22" s="4">
        <f>'2014'!AF22</f>
        <v>27</v>
      </c>
      <c r="AG22" s="4">
        <f>'2014'!AG22</f>
        <v>5.2</v>
      </c>
      <c r="AH22" s="4">
        <f>'2014'!AH22</f>
        <v>0</v>
      </c>
    </row>
    <row r="23" spans="1:34" x14ac:dyDescent="0.2">
      <c r="A23" s="19"/>
      <c r="B23" s="8">
        <f t="shared" si="2"/>
        <v>281.51</v>
      </c>
      <c r="C23" s="9" t="s">
        <v>3</v>
      </c>
      <c r="D23" s="4">
        <f>'2014'!D23</f>
        <v>0</v>
      </c>
      <c r="E23" s="4">
        <f>'2014'!E23</f>
        <v>0</v>
      </c>
      <c r="F23" s="4">
        <f>'2014'!F23</f>
        <v>0</v>
      </c>
      <c r="G23" s="4">
        <f>'2014'!G23</f>
        <v>0</v>
      </c>
      <c r="H23" s="4">
        <f>'2014'!H23</f>
        <v>0</v>
      </c>
      <c r="I23" s="4">
        <f>'2014'!I23</f>
        <v>0</v>
      </c>
      <c r="J23" s="4">
        <f>'2014'!J23</f>
        <v>0</v>
      </c>
      <c r="K23" s="4">
        <f>'2014'!K23</f>
        <v>0</v>
      </c>
      <c r="L23" s="4">
        <f>'2014'!L23</f>
        <v>0</v>
      </c>
      <c r="M23" s="4">
        <f>'2014'!M23</f>
        <v>0</v>
      </c>
      <c r="N23" s="4">
        <f>'2014'!N23</f>
        <v>0</v>
      </c>
      <c r="O23" s="4">
        <f>'2014'!O23</f>
        <v>0</v>
      </c>
      <c r="P23" s="4">
        <f>'2014'!P23</f>
        <v>0</v>
      </c>
      <c r="Q23" s="4">
        <f>'2014'!Q23</f>
        <v>0</v>
      </c>
      <c r="R23" s="4">
        <f>'2014'!R23</f>
        <v>0</v>
      </c>
      <c r="S23" s="4">
        <f>'2014'!S23</f>
        <v>0</v>
      </c>
      <c r="T23" s="4">
        <f>'2014'!T23</f>
        <v>281.51</v>
      </c>
      <c r="U23" s="4">
        <f>'2014'!U23</f>
        <v>0</v>
      </c>
      <c r="V23" s="4">
        <f>'2014'!V23</f>
        <v>0</v>
      </c>
      <c r="W23" s="4">
        <f>'2014'!W23</f>
        <v>0</v>
      </c>
      <c r="X23" s="4">
        <f>'2014'!X23</f>
        <v>0</v>
      </c>
      <c r="Y23" s="4">
        <f>'2014'!Y23</f>
        <v>0</v>
      </c>
      <c r="Z23" s="4">
        <f>'2014'!Z23</f>
        <v>0</v>
      </c>
      <c r="AA23" s="4">
        <f>'2014'!AA23</f>
        <v>0</v>
      </c>
      <c r="AB23" s="4">
        <f>'2014'!AB23</f>
        <v>0</v>
      </c>
      <c r="AC23" s="4">
        <f>'2014'!AC23</f>
        <v>0</v>
      </c>
      <c r="AD23" s="4">
        <f>'2014'!AD23</f>
        <v>0</v>
      </c>
      <c r="AE23" s="4">
        <f>'2014'!AE23</f>
        <v>0</v>
      </c>
      <c r="AF23" s="4">
        <f>'2014'!AF23</f>
        <v>0</v>
      </c>
      <c r="AG23" s="4">
        <f>'2014'!AG23</f>
        <v>0</v>
      </c>
      <c r="AH23" s="4">
        <f>'2014'!AH23</f>
        <v>0</v>
      </c>
    </row>
    <row r="24" spans="1:34" x14ac:dyDescent="0.2">
      <c r="A24" s="18" t="s">
        <v>13</v>
      </c>
      <c r="B24" s="17">
        <f t="shared" si="2"/>
        <v>261.7</v>
      </c>
      <c r="C24" s="3" t="s">
        <v>2</v>
      </c>
      <c r="D24" s="4">
        <f>'2014'!D24</f>
        <v>0</v>
      </c>
      <c r="E24" s="4">
        <f>'2014'!E24</f>
        <v>0</v>
      </c>
      <c r="F24" s="4">
        <f>'2014'!F24</f>
        <v>0</v>
      </c>
      <c r="G24" s="4">
        <f>'2014'!G24</f>
        <v>6.5</v>
      </c>
      <c r="H24" s="4">
        <f>'2014'!H24</f>
        <v>0</v>
      </c>
      <c r="I24" s="4">
        <f>'2014'!I24</f>
        <v>22.6</v>
      </c>
      <c r="J24" s="4">
        <f>'2014'!J24</f>
        <v>27.8</v>
      </c>
      <c r="K24" s="4">
        <f>'2014'!K24</f>
        <v>23.6</v>
      </c>
      <c r="L24" s="4">
        <f>'2014'!L24</f>
        <v>0</v>
      </c>
      <c r="M24" s="4">
        <f>'2014'!M24</f>
        <v>0</v>
      </c>
      <c r="N24" s="4">
        <f>'2014'!N24</f>
        <v>13</v>
      </c>
      <c r="O24" s="4">
        <f>'2014'!O24</f>
        <v>12.8</v>
      </c>
      <c r="P24" s="4">
        <f>'2014'!P24</f>
        <v>0</v>
      </c>
      <c r="Q24" s="4">
        <f>'2014'!Q24</f>
        <v>7.6</v>
      </c>
      <c r="R24" s="4">
        <f>'2014'!R24</f>
        <v>0</v>
      </c>
      <c r="S24" s="4">
        <f>'2014'!S24</f>
        <v>0</v>
      </c>
      <c r="T24" s="4">
        <f>'2014'!T24</f>
        <v>0</v>
      </c>
      <c r="U24" s="4">
        <f>'2014'!U24</f>
        <v>21.9</v>
      </c>
      <c r="V24" s="4">
        <f>'2014'!V24</f>
        <v>0</v>
      </c>
      <c r="W24" s="4">
        <f>'2014'!W24</f>
        <v>14</v>
      </c>
      <c r="X24" s="4">
        <f>'2014'!X24</f>
        <v>12</v>
      </c>
      <c r="Y24" s="4">
        <f>'2014'!Y24</f>
        <v>8.3000000000000007</v>
      </c>
      <c r="Z24" s="4">
        <f>'2014'!Z24</f>
        <v>0</v>
      </c>
      <c r="AA24" s="4">
        <f>'2014'!AA24</f>
        <v>15</v>
      </c>
      <c r="AB24" s="4">
        <f>'2014'!AB24</f>
        <v>13.3</v>
      </c>
      <c r="AC24" s="4">
        <f>'2014'!AC24</f>
        <v>50.9</v>
      </c>
      <c r="AD24" s="4">
        <f>'2014'!AD24</f>
        <v>0</v>
      </c>
      <c r="AE24" s="4">
        <f>'2014'!AE24</f>
        <v>0</v>
      </c>
      <c r="AF24" s="4">
        <f>'2014'!AF24</f>
        <v>12.4</v>
      </c>
      <c r="AG24" s="4">
        <f>'2014'!AG24</f>
        <v>0</v>
      </c>
      <c r="AH24" s="4">
        <f>'2014'!AH24</f>
        <v>0</v>
      </c>
    </row>
    <row r="25" spans="1:34" x14ac:dyDescent="0.2">
      <c r="A25" s="19"/>
      <c r="B25" s="8">
        <f t="shared" si="2"/>
        <v>0</v>
      </c>
      <c r="C25" s="9" t="s">
        <v>3</v>
      </c>
      <c r="D25" s="4">
        <f>'2014'!D25</f>
        <v>0</v>
      </c>
      <c r="E25" s="4">
        <f>'2014'!E25</f>
        <v>0</v>
      </c>
      <c r="F25" s="4">
        <f>'2014'!F25</f>
        <v>0</v>
      </c>
      <c r="G25" s="4">
        <f>'2014'!G25</f>
        <v>0</v>
      </c>
      <c r="H25" s="4">
        <f>'2014'!H25</f>
        <v>0</v>
      </c>
      <c r="I25" s="4">
        <f>'2014'!I25</f>
        <v>0</v>
      </c>
      <c r="J25" s="4">
        <f>'2014'!J25</f>
        <v>0</v>
      </c>
      <c r="K25" s="4">
        <f>'2014'!K25</f>
        <v>0</v>
      </c>
      <c r="L25" s="4">
        <f>'2014'!L25</f>
        <v>0</v>
      </c>
      <c r="M25" s="4">
        <f>'2014'!M25</f>
        <v>0</v>
      </c>
      <c r="N25" s="4">
        <f>'2014'!N25</f>
        <v>0</v>
      </c>
      <c r="O25" s="4">
        <f>'2014'!O25</f>
        <v>0</v>
      </c>
      <c r="P25" s="4">
        <f>'2014'!P25</f>
        <v>0</v>
      </c>
      <c r="Q25" s="4">
        <f>'2014'!Q25</f>
        <v>0</v>
      </c>
      <c r="R25" s="4">
        <f>'2014'!R25</f>
        <v>0</v>
      </c>
      <c r="S25" s="4">
        <f>'2014'!S25</f>
        <v>0</v>
      </c>
      <c r="T25" s="4">
        <f>'2014'!T25</f>
        <v>0</v>
      </c>
      <c r="U25" s="4">
        <f>'2014'!U25</f>
        <v>0</v>
      </c>
      <c r="V25" s="4">
        <f>'2014'!V25</f>
        <v>0</v>
      </c>
      <c r="W25" s="4">
        <f>'2014'!W25</f>
        <v>0</v>
      </c>
      <c r="X25" s="4">
        <f>'2014'!X25</f>
        <v>0</v>
      </c>
      <c r="Y25" s="4">
        <f>'2014'!Y25</f>
        <v>0</v>
      </c>
      <c r="Z25" s="4">
        <f>'2014'!Z25</f>
        <v>0</v>
      </c>
      <c r="AA25" s="4">
        <f>'2014'!AA25</f>
        <v>0</v>
      </c>
      <c r="AB25" s="4">
        <f>'2014'!AB25</f>
        <v>0</v>
      </c>
      <c r="AC25" s="4">
        <f>'2014'!AC25</f>
        <v>0</v>
      </c>
      <c r="AD25" s="4">
        <f>'2014'!AD25</f>
        <v>0</v>
      </c>
      <c r="AE25" s="4">
        <f>'2014'!AE25</f>
        <v>0</v>
      </c>
      <c r="AF25" s="4">
        <f>'2014'!AF25</f>
        <v>0</v>
      </c>
      <c r="AG25" s="4">
        <f>'2014'!AG25</f>
        <v>0</v>
      </c>
      <c r="AH25" s="4">
        <f>'2014'!AH25</f>
        <v>0</v>
      </c>
    </row>
    <row r="26" spans="1:34" x14ac:dyDescent="0.2">
      <c r="A26" s="18" t="s">
        <v>14</v>
      </c>
      <c r="B26" s="17">
        <f t="shared" si="2"/>
        <v>480.59999999999997</v>
      </c>
      <c r="C26" s="3" t="s">
        <v>2</v>
      </c>
      <c r="D26" s="4">
        <f>'2014'!D26</f>
        <v>20.8</v>
      </c>
      <c r="E26" s="4">
        <f>'2014'!E26</f>
        <v>4.2</v>
      </c>
      <c r="F26" s="4">
        <f>'2014'!F26</f>
        <v>0</v>
      </c>
      <c r="G26" s="4">
        <f>'2014'!G26</f>
        <v>59</v>
      </c>
      <c r="H26" s="4">
        <f>'2014'!H26</f>
        <v>48.2</v>
      </c>
      <c r="I26" s="4">
        <f>'2014'!I26</f>
        <v>48.4</v>
      </c>
      <c r="J26" s="4">
        <f>'2014'!J26</f>
        <v>0</v>
      </c>
      <c r="K26" s="4">
        <f>'2014'!K26</f>
        <v>0</v>
      </c>
      <c r="L26" s="4">
        <f>'2014'!L26</f>
        <v>11.6</v>
      </c>
      <c r="M26" s="4">
        <f>'2014'!M26</f>
        <v>0</v>
      </c>
      <c r="N26" s="4">
        <f>'2014'!N26</f>
        <v>13.8</v>
      </c>
      <c r="O26" s="4">
        <f>'2014'!O26</f>
        <v>25.7</v>
      </c>
      <c r="P26" s="4">
        <f>'2014'!P26</f>
        <v>13.4</v>
      </c>
      <c r="Q26" s="4">
        <f>'2014'!Q26</f>
        <v>0</v>
      </c>
      <c r="R26" s="4">
        <f>'2014'!R26</f>
        <v>11.1</v>
      </c>
      <c r="S26" s="4">
        <f>'2014'!S26</f>
        <v>7.4</v>
      </c>
      <c r="T26" s="4">
        <f>'2014'!T26</f>
        <v>28</v>
      </c>
      <c r="U26" s="4">
        <f>'2014'!U26</f>
        <v>0</v>
      </c>
      <c r="V26" s="4">
        <f>'2014'!V26</f>
        <v>83.4</v>
      </c>
      <c r="W26" s="4">
        <f>'2014'!W26</f>
        <v>15</v>
      </c>
      <c r="X26" s="4">
        <f>'2014'!X26</f>
        <v>0</v>
      </c>
      <c r="Y26" s="4">
        <f>'2014'!Y26</f>
        <v>0</v>
      </c>
      <c r="Z26" s="4">
        <f>'2014'!Z26</f>
        <v>23.2</v>
      </c>
      <c r="AA26" s="4">
        <f>'2014'!AA26</f>
        <v>39.9</v>
      </c>
      <c r="AB26" s="4">
        <f>'2014'!AB26</f>
        <v>0</v>
      </c>
      <c r="AC26" s="4">
        <f>'2014'!AC26</f>
        <v>0</v>
      </c>
      <c r="AD26" s="4">
        <f>'2014'!AD26</f>
        <v>16</v>
      </c>
      <c r="AE26" s="4">
        <f>'2014'!AE26</f>
        <v>0</v>
      </c>
      <c r="AF26" s="4">
        <f>'2014'!AF26</f>
        <v>0</v>
      </c>
      <c r="AG26" s="4">
        <f>'2014'!AG26</f>
        <v>11.5</v>
      </c>
      <c r="AH26" s="4">
        <f>'2014'!AH26</f>
        <v>0</v>
      </c>
    </row>
    <row r="27" spans="1:34" x14ac:dyDescent="0.2">
      <c r="A27" s="19"/>
      <c r="B27" s="8">
        <f t="shared" si="2"/>
        <v>532.86</v>
      </c>
      <c r="C27" s="9" t="s">
        <v>3</v>
      </c>
      <c r="D27" s="4">
        <f>'2014'!D27</f>
        <v>0</v>
      </c>
      <c r="E27" s="4">
        <f>'2014'!E27</f>
        <v>0</v>
      </c>
      <c r="F27" s="4">
        <f>'2014'!F27</f>
        <v>388.86</v>
      </c>
      <c r="G27" s="4">
        <f>'2014'!G27</f>
        <v>0</v>
      </c>
      <c r="H27" s="4">
        <f>'2014'!H27</f>
        <v>0</v>
      </c>
      <c r="I27" s="4">
        <f>'2014'!I27</f>
        <v>0</v>
      </c>
      <c r="J27" s="4">
        <f>'2014'!J27</f>
        <v>0</v>
      </c>
      <c r="K27" s="4">
        <f>'2014'!K27</f>
        <v>0</v>
      </c>
      <c r="L27" s="4">
        <f>'2014'!L27</f>
        <v>0</v>
      </c>
      <c r="M27" s="4">
        <f>'2014'!M27</f>
        <v>0</v>
      </c>
      <c r="N27" s="4">
        <f>'2014'!N27</f>
        <v>0</v>
      </c>
      <c r="O27" s="4">
        <f>'2014'!O27</f>
        <v>0</v>
      </c>
      <c r="P27" s="4">
        <f>'2014'!P27</f>
        <v>0</v>
      </c>
      <c r="Q27" s="4">
        <f>'2014'!Q27</f>
        <v>0</v>
      </c>
      <c r="R27" s="4">
        <f>'2014'!R27</f>
        <v>0</v>
      </c>
      <c r="S27" s="4">
        <f>'2014'!S27</f>
        <v>0</v>
      </c>
      <c r="T27" s="4">
        <f>'2014'!T27</f>
        <v>0</v>
      </c>
      <c r="U27" s="4">
        <f>'2014'!U27</f>
        <v>144</v>
      </c>
      <c r="V27" s="4">
        <f>'2014'!V27</f>
        <v>0</v>
      </c>
      <c r="W27" s="4">
        <f>'2014'!W27</f>
        <v>0</v>
      </c>
      <c r="X27" s="4">
        <f>'2014'!X27</f>
        <v>0</v>
      </c>
      <c r="Y27" s="4">
        <f>'2014'!Y27</f>
        <v>0</v>
      </c>
      <c r="Z27" s="4">
        <f>'2014'!Z27</f>
        <v>0</v>
      </c>
      <c r="AA27" s="4">
        <f>'2014'!AA27</f>
        <v>0</v>
      </c>
      <c r="AB27" s="4">
        <f>'2014'!AB27</f>
        <v>0</v>
      </c>
      <c r="AC27" s="4">
        <f>'2014'!AC27</f>
        <v>0</v>
      </c>
      <c r="AD27" s="4">
        <f>'2014'!AD27</f>
        <v>0</v>
      </c>
      <c r="AE27" s="4">
        <f>'2014'!AE27</f>
        <v>0</v>
      </c>
      <c r="AF27" s="4">
        <f>'2014'!AF27</f>
        <v>0</v>
      </c>
      <c r="AG27" s="4">
        <f>'2014'!AG27</f>
        <v>0</v>
      </c>
      <c r="AH27" s="4">
        <f>'2014'!AH27</f>
        <v>0</v>
      </c>
    </row>
    <row r="28" spans="1:34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</row>
    <row r="29" spans="1:34" x14ac:dyDescent="0.2">
      <c r="A29" s="1" t="s">
        <v>15</v>
      </c>
      <c r="B29" s="17">
        <f>SUMPRODUCT((D4:AH4)+(D6:AH6)+(D8:AH8)+(D10:AH10)+(D12:AH12)+(D14:AH14)+(D16:AH16)+(D18:AH18)+(D20:AH20)+(D22:AH22)+(D24:AH24)+(D26:AH26))</f>
        <v>3256.7999999999997</v>
      </c>
      <c r="C29" s="3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</row>
    <row r="30" spans="1:34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1961.68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</row>
    <row r="31" spans="1:34" x14ac:dyDescent="0.2">
      <c r="A31" s="1" t="s">
        <v>17</v>
      </c>
      <c r="B31" s="6">
        <f>B29-B30</f>
        <v>1295.1199999999997</v>
      </c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</row>
    <row r="32" spans="1:34" x14ac:dyDescent="0.2">
      <c r="A32" s="1"/>
      <c r="B32" s="6"/>
      <c r="C32" s="3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</row>
    <row r="33" spans="1:34" x14ac:dyDescent="0.2">
      <c r="A33" s="1"/>
      <c r="B33" s="6"/>
      <c r="C33" s="3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</row>
    <row r="34" spans="1:34" x14ac:dyDescent="0.2">
      <c r="A34" s="1"/>
      <c r="B34" s="2"/>
      <c r="C34" s="3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</row>
    <row r="35" spans="1:34" x14ac:dyDescent="0.2">
      <c r="A35" s="1" t="s">
        <v>18</v>
      </c>
      <c r="B35" s="20">
        <f>(((B4+B6+B8)-((B4+B6+B8)/1.22))-((B5+B7+B9)-((B5+B7+B9)/1.22)))</f>
        <v>90.944754098360647</v>
      </c>
    </row>
    <row r="37" spans="1:34" x14ac:dyDescent="0.2">
      <c r="A37" s="1" t="s">
        <v>19</v>
      </c>
      <c r="B37" s="20">
        <f>(((B10+B12+B14)-((B10+B12+B14)/1.22))-((B11+B13+B15)-((B11+B13+B15)/1.2)))</f>
        <v>91.247486338797785</v>
      </c>
    </row>
    <row r="39" spans="1:34" x14ac:dyDescent="0.2">
      <c r="A39" s="1" t="s">
        <v>20</v>
      </c>
      <c r="B39" s="20">
        <f>(((B16+B18+B20)-((B16+B18+B20)/1.22))-((B17+B19+B21)-((B17+B19+B21)/1.22)))</f>
        <v>-0.89622950819671132</v>
      </c>
    </row>
    <row r="40" spans="1:34" x14ac:dyDescent="0.2">
      <c r="A40" s="1"/>
      <c r="B40" s="20"/>
    </row>
    <row r="41" spans="1:34" x14ac:dyDescent="0.2">
      <c r="A41" s="1" t="s">
        <v>21</v>
      </c>
      <c r="B41" s="20">
        <f>(((B22+B24+B26)-((B22+B24+B26)/1.22))-((B23+B25+B27)-((B23+B25+B27)/1.22)))</f>
        <v>57.025081967213055</v>
      </c>
    </row>
  </sheetData>
  <phoneticPr fontId="0" type="noConversion"/>
  <conditionalFormatting sqref="B31:B33">
    <cfRule type="cellIs" dxfId="3" priority="1" stopIfTrue="1" operator="lessThanOrEqual">
      <formula>0</formula>
    </cfRule>
    <cfRule type="cellIs" dxfId="2" priority="2" stopIfTrue="1" operator="greaterThanOrEqual">
      <formula>0</formula>
    </cfRule>
  </conditionalFormatting>
  <conditionalFormatting sqref="D4:AH27">
    <cfRule type="cellIs" dxfId="1" priority="3" stopIfTrue="1" operator="equal">
      <formula>0</formula>
    </cfRule>
  </conditionalFormatting>
  <conditionalFormatting sqref="D5:AH5 D7:AH7 D9:AH9 D11:AH11 D13:AH13 D15:AH15 D17:AH17 D19:AH19 D21:AH21 D23:AH23 D25:AH25 D27:AH27">
    <cfRule type="cellIs" dxfId="0" priority="5" stopIfTrue="1" operator="notEqual">
      <formula>0</formula>
    </cfRule>
  </conditionalFormatting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"/>
  <sheetViews>
    <sheetView topLeftCell="A10" workbookViewId="0">
      <selection activeCell="B26" sqref="B26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4" width="6.5703125" bestFit="1" customWidth="1"/>
    <col min="5" max="5" width="5.5703125" bestFit="1" customWidth="1"/>
    <col min="6" max="19" width="6.5703125" bestFit="1" customWidth="1"/>
    <col min="20" max="20" width="5.5703125" bestFit="1" customWidth="1"/>
    <col min="21" max="26" width="6.5703125" bestFit="1" customWidth="1"/>
    <col min="27" max="28" width="5.5703125" bestFit="1" customWidth="1"/>
    <col min="29" max="30" width="6.5703125" bestFit="1" customWidth="1"/>
    <col min="31" max="32" width="5.5703125" bestFit="1" customWidth="1"/>
    <col min="33" max="33" width="6.5703125" bestFit="1" customWidth="1"/>
    <col min="34" max="34" width="5.5703125" bestFit="1" customWidth="1"/>
  </cols>
  <sheetData>
    <row r="1" spans="1:35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5"/>
    </row>
    <row r="2" spans="1:35" x14ac:dyDescent="0.2">
      <c r="A2" s="1">
        <v>2006</v>
      </c>
      <c r="B2" s="1" t="s">
        <v>0</v>
      </c>
      <c r="C2" s="1"/>
      <c r="D2" s="1">
        <v>1</v>
      </c>
      <c r="E2" s="1">
        <f t="shared" ref="E2:AH2" si="0">D2+1</f>
        <v>2</v>
      </c>
      <c r="F2" s="1">
        <f t="shared" si="0"/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  <c r="AI2" s="1"/>
    </row>
    <row r="3" spans="1:35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5"/>
    </row>
    <row r="4" spans="1:35" x14ac:dyDescent="0.2">
      <c r="A4" s="1" t="s">
        <v>1</v>
      </c>
      <c r="B4" s="6">
        <f t="array" ref="B4">SUM(D4:AH4-D5:AH5)</f>
        <v>309.08000000000004</v>
      </c>
      <c r="C4" s="3" t="s">
        <v>2</v>
      </c>
      <c r="D4" s="4"/>
      <c r="E4" s="4">
        <v>11</v>
      </c>
      <c r="F4" s="4">
        <v>40.200000000000003</v>
      </c>
      <c r="G4" s="4">
        <v>20</v>
      </c>
      <c r="H4" s="4">
        <v>33.799999999999997</v>
      </c>
      <c r="I4" s="4"/>
      <c r="J4" s="4">
        <v>16.399999999999999</v>
      </c>
      <c r="K4" s="4"/>
      <c r="L4" s="4">
        <v>10</v>
      </c>
      <c r="M4" s="4">
        <v>15</v>
      </c>
      <c r="N4" s="4">
        <v>27</v>
      </c>
      <c r="O4" s="4">
        <v>53.8</v>
      </c>
      <c r="P4" s="4">
        <v>15</v>
      </c>
      <c r="Q4" s="4">
        <v>40.4</v>
      </c>
      <c r="R4" s="4"/>
      <c r="S4" s="4">
        <v>21.9</v>
      </c>
      <c r="T4" s="4">
        <v>30.15</v>
      </c>
      <c r="U4" s="4">
        <v>15.6</v>
      </c>
      <c r="V4" s="4">
        <v>23.5</v>
      </c>
      <c r="W4" s="4">
        <v>22.5</v>
      </c>
      <c r="X4" s="4">
        <v>31.1</v>
      </c>
      <c r="Y4" s="4"/>
      <c r="Z4" s="4">
        <v>15</v>
      </c>
      <c r="AA4" s="4">
        <v>20.9</v>
      </c>
      <c r="AB4" s="4">
        <v>10.199999999999999</v>
      </c>
      <c r="AC4" s="4">
        <v>13.2</v>
      </c>
      <c r="AD4" s="4">
        <v>11</v>
      </c>
      <c r="AE4" s="4">
        <v>59.4</v>
      </c>
      <c r="AF4" s="4"/>
      <c r="AG4" s="4">
        <v>12</v>
      </c>
      <c r="AH4" s="4">
        <v>18.7</v>
      </c>
      <c r="AI4" s="5"/>
    </row>
    <row r="5" spans="1:35" x14ac:dyDescent="0.2">
      <c r="A5" s="7">
        <f>SUM(D4:AH4)</f>
        <v>587.75</v>
      </c>
      <c r="B5" s="8">
        <f>SUM(D5:AH5)</f>
        <v>278.66999999999996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>
        <f>140.42+138.25</f>
        <v>278.66999999999996</v>
      </c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2"/>
    </row>
    <row r="6" spans="1:35" x14ac:dyDescent="0.2">
      <c r="A6" s="1" t="s">
        <v>4</v>
      </c>
      <c r="B6" s="6">
        <f t="array" ref="B6">SUM(D6:AH6-D7:AH7)</f>
        <v>356.79</v>
      </c>
      <c r="C6" s="3" t="s">
        <v>2</v>
      </c>
      <c r="D6" s="4">
        <v>21.3</v>
      </c>
      <c r="E6" s="4">
        <v>14.7</v>
      </c>
      <c r="F6" s="4">
        <v>34.9</v>
      </c>
      <c r="G6" s="4">
        <v>32.200000000000003</v>
      </c>
      <c r="H6" s="4"/>
      <c r="I6" s="4">
        <v>13.8</v>
      </c>
      <c r="J6" s="4">
        <v>32.450000000000003</v>
      </c>
      <c r="K6" s="4">
        <v>23.4</v>
      </c>
      <c r="L6" s="4">
        <v>23</v>
      </c>
      <c r="M6" s="4">
        <v>25.2</v>
      </c>
      <c r="N6" s="4">
        <v>85.7</v>
      </c>
      <c r="O6" s="4"/>
      <c r="P6" s="4"/>
      <c r="Q6" s="4">
        <v>38.020000000000003</v>
      </c>
      <c r="R6" s="4">
        <v>23.6</v>
      </c>
      <c r="S6" s="4">
        <v>36</v>
      </c>
      <c r="T6" s="4">
        <v>33.200000000000003</v>
      </c>
      <c r="U6" s="4">
        <v>38.4</v>
      </c>
      <c r="V6" s="4"/>
      <c r="W6" s="4">
        <v>13</v>
      </c>
      <c r="X6" s="4">
        <v>29.25</v>
      </c>
      <c r="Y6" s="4">
        <v>14.1</v>
      </c>
      <c r="Z6" s="4">
        <v>31.7</v>
      </c>
      <c r="AA6" s="4">
        <v>29</v>
      </c>
      <c r="AB6" s="4">
        <v>22.3</v>
      </c>
      <c r="AC6" s="4"/>
      <c r="AD6" s="4">
        <v>14.4</v>
      </c>
      <c r="AE6" s="4">
        <v>31.7</v>
      </c>
      <c r="AF6" s="4"/>
      <c r="AG6" s="4"/>
      <c r="AH6" s="4"/>
      <c r="AI6" s="5"/>
    </row>
    <row r="7" spans="1:35" x14ac:dyDescent="0.2">
      <c r="A7" s="7">
        <f>SUM(D6:AH6)</f>
        <v>661.32</v>
      </c>
      <c r="B7" s="8">
        <f>SUM(D7:AH7)</f>
        <v>304.52999999999997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>
        <f>102.46+164.11+37.96</f>
        <v>304.52999999999997</v>
      </c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2"/>
    </row>
    <row r="8" spans="1:35" x14ac:dyDescent="0.2">
      <c r="A8" s="1" t="s">
        <v>5</v>
      </c>
      <c r="B8" s="6">
        <f t="array" ref="B8">SUM(D8:AH8-D9:AH9)</f>
        <v>301.67999999999995</v>
      </c>
      <c r="C8" s="3" t="s">
        <v>2</v>
      </c>
      <c r="D8" s="4">
        <v>20</v>
      </c>
      <c r="E8" s="4">
        <v>51.2</v>
      </c>
      <c r="F8" s="4">
        <v>34.1</v>
      </c>
      <c r="G8" s="4">
        <v>22.9</v>
      </c>
      <c r="H8" s="4"/>
      <c r="I8" s="4">
        <v>17.350000000000001</v>
      </c>
      <c r="J8" s="4">
        <v>21.2</v>
      </c>
      <c r="K8" s="4">
        <v>13</v>
      </c>
      <c r="L8" s="4">
        <v>11.6</v>
      </c>
      <c r="M8" s="4">
        <v>18.2</v>
      </c>
      <c r="N8" s="4">
        <v>30.65</v>
      </c>
      <c r="O8" s="4"/>
      <c r="P8" s="4">
        <v>12</v>
      </c>
      <c r="Q8" s="4">
        <v>15.3</v>
      </c>
      <c r="R8" s="4">
        <v>37.700000000000003</v>
      </c>
      <c r="S8" s="4">
        <v>11.6</v>
      </c>
      <c r="T8" s="4">
        <v>22.2</v>
      </c>
      <c r="U8" s="4">
        <v>19.2</v>
      </c>
      <c r="V8" s="4"/>
      <c r="W8" s="4">
        <v>13.2</v>
      </c>
      <c r="X8" s="4">
        <v>20</v>
      </c>
      <c r="Y8" s="4">
        <v>16.600000000000001</v>
      </c>
      <c r="Z8" s="4">
        <v>42.15</v>
      </c>
      <c r="AA8" s="4">
        <v>14.95</v>
      </c>
      <c r="AB8" s="4">
        <v>55.9</v>
      </c>
      <c r="AC8" s="4"/>
      <c r="AD8" s="4">
        <v>87.2</v>
      </c>
      <c r="AE8" s="4">
        <v>30</v>
      </c>
      <c r="AF8" s="4">
        <v>12</v>
      </c>
      <c r="AG8" s="4">
        <v>30.2</v>
      </c>
      <c r="AH8" s="4">
        <v>20.9</v>
      </c>
      <c r="AI8" s="5"/>
    </row>
    <row r="9" spans="1:35" x14ac:dyDescent="0.2">
      <c r="A9" s="7">
        <f>SUM(D8:AH8)</f>
        <v>701.30000000000007</v>
      </c>
      <c r="B9" s="8">
        <f>SUM(D9:AH9)</f>
        <v>399.62</v>
      </c>
      <c r="C9" s="9" t="s">
        <v>3</v>
      </c>
      <c r="D9" s="10"/>
      <c r="E9" s="10"/>
      <c r="F9" s="10"/>
      <c r="G9" s="10"/>
      <c r="H9" s="10"/>
      <c r="I9" s="10"/>
      <c r="J9" s="10"/>
      <c r="K9" s="10"/>
      <c r="L9" s="10"/>
      <c r="M9" s="11"/>
      <c r="N9" s="10"/>
      <c r="O9" s="10"/>
      <c r="P9" s="10">
        <v>234.94</v>
      </c>
      <c r="Q9" s="10"/>
      <c r="R9" s="14"/>
      <c r="S9" s="11"/>
      <c r="T9" s="10"/>
      <c r="U9" s="10"/>
      <c r="V9" s="10"/>
      <c r="W9" s="10"/>
      <c r="X9" s="10"/>
      <c r="Y9" s="10"/>
      <c r="Z9" s="10">
        <v>103</v>
      </c>
      <c r="AA9" s="10">
        <v>61.68</v>
      </c>
      <c r="AB9" s="10"/>
      <c r="AC9" s="10"/>
      <c r="AD9" s="10"/>
      <c r="AE9" s="10"/>
      <c r="AF9" s="10"/>
      <c r="AG9" s="10"/>
      <c r="AH9" s="10"/>
      <c r="AI9" s="12"/>
    </row>
    <row r="10" spans="1:35" x14ac:dyDescent="0.2">
      <c r="A10" s="1" t="s">
        <v>6</v>
      </c>
      <c r="B10" s="6">
        <f t="array" ref="B10">SUM(D10:AH10-D11:AH11)</f>
        <v>217.50000000000006</v>
      </c>
      <c r="C10" s="3" t="s">
        <v>2</v>
      </c>
      <c r="D10" s="4">
        <v>27.05</v>
      </c>
      <c r="E10" s="4"/>
      <c r="F10" s="4"/>
      <c r="G10" s="4">
        <v>39.5</v>
      </c>
      <c r="H10" s="4">
        <v>30</v>
      </c>
      <c r="I10" s="4">
        <v>24.4</v>
      </c>
      <c r="J10" s="4">
        <v>21.6</v>
      </c>
      <c r="K10" s="4">
        <v>136.37</v>
      </c>
      <c r="L10" s="4"/>
      <c r="M10" s="4">
        <v>86.2</v>
      </c>
      <c r="N10" s="4">
        <v>15.5</v>
      </c>
      <c r="O10" s="4">
        <v>57.6</v>
      </c>
      <c r="P10" s="4">
        <v>14.8</v>
      </c>
      <c r="Q10" s="4">
        <v>11</v>
      </c>
      <c r="R10" s="4">
        <v>19.79</v>
      </c>
      <c r="S10" s="4"/>
      <c r="T10" s="4"/>
      <c r="U10" s="4">
        <v>46.1</v>
      </c>
      <c r="V10" s="4">
        <v>14.4</v>
      </c>
      <c r="W10" s="4">
        <v>21.4</v>
      </c>
      <c r="X10" s="4">
        <v>31</v>
      </c>
      <c r="Y10" s="4">
        <v>26.75</v>
      </c>
      <c r="Z10" s="4"/>
      <c r="AA10" s="4"/>
      <c r="AB10" s="4"/>
      <c r="AC10" s="4">
        <v>28.9</v>
      </c>
      <c r="AD10" s="4">
        <v>58.55</v>
      </c>
      <c r="AE10" s="4">
        <v>22.3</v>
      </c>
      <c r="AF10" s="4">
        <v>26.2</v>
      </c>
      <c r="AG10" s="4"/>
      <c r="AH10" s="4"/>
      <c r="AI10" s="5"/>
    </row>
    <row r="11" spans="1:35" x14ac:dyDescent="0.2">
      <c r="A11" s="7">
        <f>SUM(D10:AH10)</f>
        <v>759.40999999999985</v>
      </c>
      <c r="B11" s="8">
        <f>SUM(D11:AH11)</f>
        <v>541.91</v>
      </c>
      <c r="C11" s="9" t="s">
        <v>3</v>
      </c>
      <c r="D11" s="11"/>
      <c r="E11" s="10"/>
      <c r="F11" s="10"/>
      <c r="G11" s="10"/>
      <c r="H11" s="10">
        <f>113.24+148.22</f>
        <v>261.45999999999998</v>
      </c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>
        <f>131.41+108.18+40.86</f>
        <v>280.45</v>
      </c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  <c r="AI11" s="12"/>
    </row>
    <row r="12" spans="1:35" x14ac:dyDescent="0.2">
      <c r="A12" s="1" t="s">
        <v>7</v>
      </c>
      <c r="B12" s="6">
        <f t="array" ref="B12">SUM(D12:AH12-D13:AH13)</f>
        <v>155.35000000000002</v>
      </c>
      <c r="C12" s="3" t="s">
        <v>2</v>
      </c>
      <c r="D12" s="4"/>
      <c r="E12" s="4">
        <v>21</v>
      </c>
      <c r="F12" s="4">
        <v>33</v>
      </c>
      <c r="G12" s="4">
        <v>28.05</v>
      </c>
      <c r="H12" s="4">
        <v>140.05000000000001</v>
      </c>
      <c r="I12" s="4">
        <v>55.9</v>
      </c>
      <c r="J12" s="4"/>
      <c r="K12" s="4">
        <v>22.2</v>
      </c>
      <c r="L12" s="4">
        <v>22.2</v>
      </c>
      <c r="M12" s="4">
        <v>21.9</v>
      </c>
      <c r="N12" s="4">
        <v>15.6</v>
      </c>
      <c r="O12" s="4">
        <v>14.2</v>
      </c>
      <c r="P12" s="4">
        <v>43.5</v>
      </c>
      <c r="Q12" s="4"/>
      <c r="R12" s="4">
        <v>13.2</v>
      </c>
      <c r="S12" s="4">
        <v>38.5</v>
      </c>
      <c r="T12" s="4">
        <v>68.849999999999994</v>
      </c>
      <c r="U12" s="4">
        <v>28.9</v>
      </c>
      <c r="V12" s="4">
        <v>18.8</v>
      </c>
      <c r="W12" s="4">
        <v>22.8</v>
      </c>
      <c r="X12" s="4"/>
      <c r="Y12" s="4">
        <v>18.05</v>
      </c>
      <c r="Z12" s="4">
        <v>39.15</v>
      </c>
      <c r="AA12" s="4">
        <v>14.8</v>
      </c>
      <c r="AB12" s="4">
        <v>24</v>
      </c>
      <c r="AC12" s="4">
        <v>52.5</v>
      </c>
      <c r="AD12" s="4">
        <v>78.8</v>
      </c>
      <c r="AE12" s="4"/>
      <c r="AF12" s="4">
        <v>17.5</v>
      </c>
      <c r="AG12" s="4">
        <v>28.2</v>
      </c>
      <c r="AH12" s="4">
        <v>30.7</v>
      </c>
      <c r="AI12" s="5"/>
    </row>
    <row r="13" spans="1:35" x14ac:dyDescent="0.2">
      <c r="A13" s="7">
        <f>SUM(D12:AH12)</f>
        <v>912.3499999999998</v>
      </c>
      <c r="B13" s="8">
        <f>SUM(D13:AH13)</f>
        <v>757</v>
      </c>
      <c r="C13" s="9" t="s">
        <v>3</v>
      </c>
      <c r="D13" s="10"/>
      <c r="E13" s="10"/>
      <c r="F13" s="10">
        <f>244.48+113.51</f>
        <v>357.99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>
        <f>62.86+57.8+57.37</f>
        <v>178.03</v>
      </c>
      <c r="V13" s="10"/>
      <c r="W13" s="10"/>
      <c r="X13" s="10"/>
      <c r="Y13" s="10"/>
      <c r="Z13" s="11"/>
      <c r="AA13" s="10"/>
      <c r="AB13" s="10"/>
      <c r="AC13" s="10">
        <f>128.66+92.32</f>
        <v>220.98</v>
      </c>
      <c r="AD13" s="10"/>
      <c r="AE13" s="10"/>
      <c r="AF13" s="10"/>
      <c r="AG13" s="10"/>
      <c r="AH13" s="10"/>
      <c r="AI13" s="12"/>
    </row>
    <row r="14" spans="1:35" x14ac:dyDescent="0.2">
      <c r="A14" s="1" t="s">
        <v>8</v>
      </c>
      <c r="B14" s="6">
        <f t="array" ref="B14">SUM(D14:AH14-D15:AH15)</f>
        <v>605.45000000000005</v>
      </c>
      <c r="C14" s="3" t="s">
        <v>2</v>
      </c>
      <c r="D14" s="4">
        <v>15.65</v>
      </c>
      <c r="E14" s="4"/>
      <c r="F14" s="4">
        <v>53.3</v>
      </c>
      <c r="G14" s="4"/>
      <c r="H14" s="4">
        <v>15.9</v>
      </c>
      <c r="I14" s="4">
        <v>15.4</v>
      </c>
      <c r="J14" s="4"/>
      <c r="K14" s="4">
        <v>24.7</v>
      </c>
      <c r="L14" s="4">
        <v>15.4</v>
      </c>
      <c r="M14" s="4">
        <v>11.65</v>
      </c>
      <c r="N14" s="4"/>
      <c r="O14" s="4">
        <v>13.6</v>
      </c>
      <c r="P14" s="4">
        <v>16.25</v>
      </c>
      <c r="Q14" s="4">
        <v>12.5</v>
      </c>
      <c r="R14" s="4">
        <v>79.900000000000006</v>
      </c>
      <c r="S14" s="4">
        <v>24</v>
      </c>
      <c r="T14" s="4"/>
      <c r="U14" s="4"/>
      <c r="V14" s="4">
        <v>38.5</v>
      </c>
      <c r="W14" s="4">
        <v>69.75</v>
      </c>
      <c r="X14" s="4">
        <v>13.65</v>
      </c>
      <c r="Y14" s="4">
        <v>30.4</v>
      </c>
      <c r="Z14" s="4">
        <v>15.4</v>
      </c>
      <c r="AA14" s="4">
        <v>10.55</v>
      </c>
      <c r="AB14" s="4"/>
      <c r="AD14" s="4">
        <v>45.35</v>
      </c>
      <c r="AE14" s="4">
        <v>24.7</v>
      </c>
      <c r="AF14" s="4">
        <v>22.2</v>
      </c>
      <c r="AG14" s="4">
        <v>36.700000000000003</v>
      </c>
      <c r="AH14" s="4"/>
      <c r="AI14" s="5"/>
    </row>
    <row r="15" spans="1:35" x14ac:dyDescent="0.2">
      <c r="A15" s="7">
        <f>SUM(D14:AH14)</f>
        <v>605.45000000000005</v>
      </c>
      <c r="B15" s="8">
        <f>SUM(D15:AH15)</f>
        <v>0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2"/>
    </row>
    <row r="16" spans="1:35" x14ac:dyDescent="0.2">
      <c r="A16" s="1" t="s">
        <v>9</v>
      </c>
      <c r="B16" s="6">
        <f t="array" ref="B16">SUM(D16:AH16-D17:AH17)</f>
        <v>334.24999999999994</v>
      </c>
      <c r="C16" s="3" t="s">
        <v>2</v>
      </c>
      <c r="D16" s="4">
        <v>19.45</v>
      </c>
      <c r="E16" s="4"/>
      <c r="F16" s="4">
        <v>11.1</v>
      </c>
      <c r="G16" s="4">
        <v>38.200000000000003</v>
      </c>
      <c r="H16" s="4"/>
      <c r="I16" s="4">
        <v>15</v>
      </c>
      <c r="J16" s="4"/>
      <c r="K16" s="4">
        <v>21.9</v>
      </c>
      <c r="L16" s="4"/>
      <c r="M16" s="4"/>
      <c r="N16" s="4">
        <v>33.1</v>
      </c>
      <c r="O16" s="4">
        <v>19.600000000000001</v>
      </c>
      <c r="P16" s="4">
        <v>14.2</v>
      </c>
      <c r="Q16" s="4">
        <v>19.7</v>
      </c>
      <c r="R16" s="4">
        <v>80.95</v>
      </c>
      <c r="S16" s="4"/>
      <c r="T16" s="4">
        <v>12.8</v>
      </c>
      <c r="U16" s="4">
        <v>65</v>
      </c>
      <c r="V16" s="4">
        <v>12.5</v>
      </c>
      <c r="W16" s="4"/>
      <c r="X16" s="4">
        <v>20.2</v>
      </c>
      <c r="Y16" s="4">
        <v>34.5</v>
      </c>
      <c r="Z16" s="4"/>
      <c r="AA16" s="4">
        <v>59.5</v>
      </c>
      <c r="AB16" s="4">
        <v>56.3</v>
      </c>
      <c r="AC16" s="4">
        <v>23.15</v>
      </c>
      <c r="AD16" s="4"/>
      <c r="AE16" s="4">
        <v>13.2</v>
      </c>
      <c r="AF16" s="4">
        <v>13.6</v>
      </c>
      <c r="AG16" s="4"/>
      <c r="AH16" s="4"/>
      <c r="AI16" s="5"/>
    </row>
    <row r="17" spans="1:35" x14ac:dyDescent="0.2">
      <c r="A17" s="7">
        <f>SUM(D16:AH16)</f>
        <v>583.95000000000005</v>
      </c>
      <c r="B17" s="8">
        <f>SUM(D17:AH17)</f>
        <v>249.70000000000002</v>
      </c>
      <c r="C17" s="9" t="s">
        <v>3</v>
      </c>
      <c r="D17" s="10"/>
      <c r="E17" s="10"/>
      <c r="F17" s="10"/>
      <c r="G17" s="10"/>
      <c r="H17" s="10"/>
      <c r="I17" s="10"/>
      <c r="J17" s="10">
        <f>143.77+105.93</f>
        <v>249.70000000000002</v>
      </c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2"/>
    </row>
    <row r="18" spans="1:35" x14ac:dyDescent="0.2">
      <c r="A18" s="1" t="s">
        <v>10</v>
      </c>
      <c r="B18" s="6">
        <f t="array" ref="B18">SUM(D18:AH18-D19:AH19)</f>
        <v>0</v>
      </c>
      <c r="C18" s="3" t="s">
        <v>2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5"/>
    </row>
    <row r="19" spans="1:35" x14ac:dyDescent="0.2">
      <c r="A19" s="7">
        <f>SUM(D18:AH18)</f>
        <v>0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2"/>
    </row>
    <row r="20" spans="1:35" x14ac:dyDescent="0.2">
      <c r="A20" s="1" t="s">
        <v>11</v>
      </c>
      <c r="B20" s="6">
        <f t="array" ref="B20">SUM(D20:AH20-D21:AH21)</f>
        <v>142.61000000000004</v>
      </c>
      <c r="C20" s="3" t="s">
        <v>2</v>
      </c>
      <c r="D20" s="4"/>
      <c r="E20" s="4"/>
      <c r="F20" s="4"/>
      <c r="G20" s="4"/>
      <c r="H20" s="4">
        <v>25.7</v>
      </c>
      <c r="I20" s="4">
        <v>11.35</v>
      </c>
      <c r="J20" s="4">
        <v>15</v>
      </c>
      <c r="K20" s="4">
        <v>42.9</v>
      </c>
      <c r="L20" s="4">
        <v>22.5</v>
      </c>
      <c r="M20" s="4"/>
      <c r="N20" s="4">
        <v>29.35</v>
      </c>
      <c r="O20" s="4">
        <v>19.100000000000001</v>
      </c>
      <c r="P20" s="4"/>
      <c r="Q20" s="4">
        <v>11.5</v>
      </c>
      <c r="R20" s="4"/>
      <c r="S20" s="4">
        <v>26.3</v>
      </c>
      <c r="T20" s="4"/>
      <c r="U20" s="4">
        <v>21.2</v>
      </c>
      <c r="V20" s="4">
        <v>59</v>
      </c>
      <c r="W20" s="4">
        <v>22.1</v>
      </c>
      <c r="X20" s="4">
        <v>12.8</v>
      </c>
      <c r="Y20" s="4"/>
      <c r="Z20" s="4">
        <v>30.5</v>
      </c>
      <c r="AA20" s="4"/>
      <c r="AB20" s="4"/>
      <c r="AC20" s="4">
        <v>17.8</v>
      </c>
      <c r="AD20" s="4">
        <v>25</v>
      </c>
      <c r="AE20" s="4">
        <v>17.75</v>
      </c>
      <c r="AF20" s="4">
        <v>24.8</v>
      </c>
      <c r="AG20" s="4">
        <v>21.6</v>
      </c>
      <c r="AH20" s="4"/>
      <c r="AI20" s="5"/>
    </row>
    <row r="21" spans="1:35" x14ac:dyDescent="0.2">
      <c r="A21" s="7">
        <f>SUM(D20:AH20)</f>
        <v>456.25000000000006</v>
      </c>
      <c r="B21" s="8">
        <f>SUM(D21:AH21)</f>
        <v>313.64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>
        <f>156.25+157.39</f>
        <v>313.64</v>
      </c>
      <c r="AD21" s="10"/>
      <c r="AE21" s="10"/>
      <c r="AF21" s="10"/>
      <c r="AG21" s="10"/>
      <c r="AH21" s="10"/>
      <c r="AI21" s="12"/>
    </row>
    <row r="22" spans="1:35" x14ac:dyDescent="0.2">
      <c r="A22" s="1" t="s">
        <v>12</v>
      </c>
      <c r="B22" s="6">
        <f t="array" ref="B22">SUM(D22:AH22-D23:AH23)</f>
        <v>366.81999999999988</v>
      </c>
      <c r="C22" s="3" t="s">
        <v>2</v>
      </c>
      <c r="D22" s="4"/>
      <c r="E22" s="4">
        <v>21.7</v>
      </c>
      <c r="F22" s="4">
        <v>128.4</v>
      </c>
      <c r="G22" s="4">
        <v>36.4</v>
      </c>
      <c r="H22" s="4">
        <v>88.88</v>
      </c>
      <c r="I22" s="4">
        <v>15</v>
      </c>
      <c r="J22" s="4">
        <v>18.2</v>
      </c>
      <c r="K22" s="4"/>
      <c r="L22" s="4">
        <v>13.6</v>
      </c>
      <c r="M22" s="4">
        <v>22.2</v>
      </c>
      <c r="N22" s="4">
        <v>61</v>
      </c>
      <c r="O22" s="4">
        <v>27.8</v>
      </c>
      <c r="P22" s="4">
        <v>24.85</v>
      </c>
      <c r="Q22" s="4">
        <v>39.6</v>
      </c>
      <c r="R22" s="4"/>
      <c r="S22" s="4">
        <v>22.5</v>
      </c>
      <c r="T22" s="4">
        <v>31.9</v>
      </c>
      <c r="U22" s="4">
        <v>20.7</v>
      </c>
      <c r="V22" s="4">
        <v>20.2</v>
      </c>
      <c r="W22" s="4">
        <v>45.7</v>
      </c>
      <c r="X22" s="4">
        <v>58.75</v>
      </c>
      <c r="Y22" s="4"/>
      <c r="Z22" s="4">
        <v>20</v>
      </c>
      <c r="AA22" s="4">
        <v>22.45</v>
      </c>
      <c r="AB22" s="4">
        <v>33.4</v>
      </c>
      <c r="AC22" s="4">
        <v>28</v>
      </c>
      <c r="AD22" s="4">
        <v>31.2</v>
      </c>
      <c r="AE22" s="4">
        <v>30.7</v>
      </c>
      <c r="AF22" s="4"/>
      <c r="AG22" s="4">
        <v>13.7</v>
      </c>
      <c r="AH22" s="4">
        <v>21.9</v>
      </c>
      <c r="AI22" s="5"/>
    </row>
    <row r="23" spans="1:35" x14ac:dyDescent="0.2">
      <c r="A23" s="7">
        <f>SUM(D22:AH22)</f>
        <v>898.73000000000036</v>
      </c>
      <c r="B23" s="8">
        <f>SUM(D23:AH23)</f>
        <v>531.91000000000008</v>
      </c>
      <c r="C23" s="9" t="s">
        <v>3</v>
      </c>
      <c r="D23" s="10"/>
      <c r="E23" s="10"/>
      <c r="F23" s="10"/>
      <c r="G23" s="10"/>
      <c r="H23" s="12"/>
      <c r="I23" s="10">
        <v>90</v>
      </c>
      <c r="J23" s="10"/>
      <c r="K23" s="10"/>
      <c r="L23" s="10"/>
      <c r="M23" s="10"/>
      <c r="N23" s="10"/>
      <c r="O23" s="10"/>
      <c r="P23" s="10">
        <f>197.99+88.92+66</f>
        <v>352.91</v>
      </c>
      <c r="Q23" s="11"/>
      <c r="R23" s="10"/>
      <c r="S23" s="10"/>
      <c r="T23" s="10"/>
      <c r="U23" s="10"/>
      <c r="V23" s="10"/>
      <c r="W23" s="10">
        <v>89</v>
      </c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2"/>
    </row>
    <row r="24" spans="1:35" x14ac:dyDescent="0.2">
      <c r="A24" s="1" t="s">
        <v>13</v>
      </c>
      <c r="B24" s="6">
        <f t="array" ref="B24">SUM(D24:AH24-D25:AH25)</f>
        <v>185.05999999999997</v>
      </c>
      <c r="C24" s="3" t="s">
        <v>2</v>
      </c>
      <c r="D24" s="4"/>
      <c r="E24" s="4">
        <v>23.65</v>
      </c>
      <c r="F24" s="4">
        <v>23.56</v>
      </c>
      <c r="G24" s="4">
        <v>83.2</v>
      </c>
      <c r="H24" s="4"/>
      <c r="I24" s="4">
        <v>55.8</v>
      </c>
      <c r="J24" s="4">
        <v>112.6</v>
      </c>
      <c r="K24" s="4">
        <v>25.2</v>
      </c>
      <c r="L24" s="4">
        <v>22.4</v>
      </c>
      <c r="M24" s="4">
        <v>18.2</v>
      </c>
      <c r="N24" s="4">
        <v>24.05</v>
      </c>
      <c r="O24" s="4"/>
      <c r="P24" s="4">
        <v>20</v>
      </c>
      <c r="Q24" s="4">
        <v>46.6</v>
      </c>
      <c r="R24" s="4">
        <v>42.3</v>
      </c>
      <c r="S24" s="4">
        <v>77</v>
      </c>
      <c r="T24" s="4">
        <v>19.3</v>
      </c>
      <c r="U24" s="4">
        <v>52.3</v>
      </c>
      <c r="V24" s="4"/>
      <c r="W24" s="4">
        <v>39.700000000000003</v>
      </c>
      <c r="X24" s="4">
        <v>24.5</v>
      </c>
      <c r="Y24" s="4">
        <v>17.899999999999999</v>
      </c>
      <c r="Z24" s="4">
        <v>40.799999999999997</v>
      </c>
      <c r="AA24" s="4">
        <v>37.299999999999997</v>
      </c>
      <c r="AB24" s="4">
        <v>33.799999999999997</v>
      </c>
      <c r="AC24" s="4"/>
      <c r="AD24" s="4">
        <v>47.05</v>
      </c>
      <c r="AE24" s="4">
        <v>36.1</v>
      </c>
      <c r="AF24" s="4">
        <v>21.2</v>
      </c>
      <c r="AG24" s="4">
        <v>60.7</v>
      </c>
      <c r="AH24" s="4"/>
      <c r="AI24" s="5"/>
    </row>
    <row r="25" spans="1:35" x14ac:dyDescent="0.2">
      <c r="A25" s="7">
        <f>SUM(D24:AH24)</f>
        <v>1005.2099999999998</v>
      </c>
      <c r="B25" s="8">
        <f>SUM(D25:AH25)</f>
        <v>820.15</v>
      </c>
      <c r="C25" s="9" t="s">
        <v>3</v>
      </c>
      <c r="D25" s="10"/>
      <c r="E25" s="10"/>
      <c r="F25" s="10">
        <f>127.24+192.4</f>
        <v>319.64</v>
      </c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>
        <f>258.91+185.84+55.76</f>
        <v>500.51</v>
      </c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2"/>
    </row>
    <row r="26" spans="1:35" x14ac:dyDescent="0.2">
      <c r="A26" s="1" t="s">
        <v>14</v>
      </c>
      <c r="B26" s="6">
        <f t="array" ref="B26">SUM(D26:AH26-D27:AH27)</f>
        <v>149.86999999999992</v>
      </c>
      <c r="C26" s="3" t="s">
        <v>2</v>
      </c>
      <c r="D26" s="4">
        <v>25.4</v>
      </c>
      <c r="E26" s="4">
        <v>33.9</v>
      </c>
      <c r="F26" s="4"/>
      <c r="G26" s="4">
        <v>36</v>
      </c>
      <c r="H26" s="4">
        <v>35.200000000000003</v>
      </c>
      <c r="I26" s="4">
        <v>88.4</v>
      </c>
      <c r="J26" s="4">
        <v>100.3</v>
      </c>
      <c r="K26" s="4"/>
      <c r="L26" s="4">
        <v>27.2</v>
      </c>
      <c r="M26" s="4"/>
      <c r="N26" s="4">
        <v>22</v>
      </c>
      <c r="O26" s="4">
        <v>26.6</v>
      </c>
      <c r="P26" s="4">
        <v>39.75</v>
      </c>
      <c r="Q26" s="4">
        <v>32</v>
      </c>
      <c r="R26" s="4">
        <v>21.4</v>
      </c>
      <c r="S26" s="4">
        <v>17</v>
      </c>
      <c r="T26" s="4"/>
      <c r="U26" s="4">
        <v>23.5</v>
      </c>
      <c r="V26" s="4">
        <v>52.4</v>
      </c>
      <c r="W26" s="4">
        <v>37.4</v>
      </c>
      <c r="X26" s="4">
        <v>51.1</v>
      </c>
      <c r="Y26" s="4">
        <v>64.099999999999994</v>
      </c>
      <c r="Z26" s="4">
        <v>88.45</v>
      </c>
      <c r="AA26" s="4">
        <v>24.7</v>
      </c>
      <c r="AB26" s="4"/>
      <c r="AC26" s="4"/>
      <c r="AD26" s="4">
        <v>29.1</v>
      </c>
      <c r="AE26" s="4">
        <v>35.700000000000003</v>
      </c>
      <c r="AF26" s="4">
        <v>14.8</v>
      </c>
      <c r="AG26" s="4">
        <v>127.1</v>
      </c>
      <c r="AH26" s="4">
        <v>16.7</v>
      </c>
      <c r="AI26" s="5"/>
    </row>
    <row r="27" spans="1:35" x14ac:dyDescent="0.2">
      <c r="A27" s="7">
        <f>SUM(D26:AH26)</f>
        <v>1070.2</v>
      </c>
      <c r="B27" s="8">
        <f>SUM(D27:AH27)</f>
        <v>920.32999999999993</v>
      </c>
      <c r="C27" s="9" t="s">
        <v>3</v>
      </c>
      <c r="D27" s="10"/>
      <c r="E27" s="10"/>
      <c r="F27" s="10"/>
      <c r="G27" s="10">
        <f>366.4+191.12+15+70.34</f>
        <v>642.86</v>
      </c>
      <c r="H27" s="12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>
        <f>139.19+121.88+16.4</f>
        <v>277.46999999999997</v>
      </c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2"/>
    </row>
    <row r="28" spans="1:35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3"/>
    </row>
    <row r="29" spans="1:35" x14ac:dyDescent="0.2">
      <c r="A29" s="1" t="s">
        <v>15</v>
      </c>
      <c r="B29" s="17">
        <f>SUMPRODUCT((D4:AH4)+(D6:AH6)+(D8:AH8)+(D10:AH10)+(D12:AH12)+(D14:AH14)+(D16:AH16)+(D18:AH18)+(D20:AH20)+(D22:AH22)+(D24:AH24)+(D26:AH26))</f>
        <v>8241.9199999999983</v>
      </c>
      <c r="C29" s="3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5"/>
    </row>
    <row r="30" spans="1:35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5117.46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5"/>
    </row>
    <row r="31" spans="1:35" x14ac:dyDescent="0.2">
      <c r="A31" s="1" t="s">
        <v>17</v>
      </c>
      <c r="B31" s="6">
        <f>B29-B30</f>
        <v>3124.4599999999982</v>
      </c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5"/>
    </row>
    <row r="32" spans="1:35" x14ac:dyDescent="0.2">
      <c r="A32" s="1"/>
      <c r="B32" s="2"/>
      <c r="C32" s="3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5"/>
    </row>
  </sheetData>
  <conditionalFormatting sqref="B31">
    <cfRule type="cellIs" dxfId="41" priority="1" stopIfTrue="1" operator="lessThanOrEqual">
      <formula>0</formula>
    </cfRule>
    <cfRule type="cellIs" dxfId="40" priority="2" stopIfTrue="1" operator="greaterThanOr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"/>
  <sheetViews>
    <sheetView topLeftCell="A12" workbookViewId="0">
      <selection activeCell="E20" sqref="E20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8" width="6.5703125" bestFit="1" customWidth="1"/>
    <col min="9" max="9" width="6.42578125" customWidth="1"/>
    <col min="10" max="19" width="6.5703125" bestFit="1" customWidth="1"/>
    <col min="20" max="20" width="5.5703125" bestFit="1" customWidth="1"/>
    <col min="21" max="27" width="6.5703125" bestFit="1" customWidth="1"/>
    <col min="28" max="28" width="5.5703125" bestFit="1" customWidth="1"/>
    <col min="29" max="31" width="6.5703125" bestFit="1" customWidth="1"/>
    <col min="32" max="32" width="5.5703125" bestFit="1" customWidth="1"/>
    <col min="33" max="33" width="6.5703125" bestFit="1" customWidth="1"/>
    <col min="34" max="34" width="5.5703125" bestFit="1" customWidth="1"/>
  </cols>
  <sheetData>
    <row r="1" spans="1:35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5"/>
    </row>
    <row r="2" spans="1:35" x14ac:dyDescent="0.2">
      <c r="A2" s="1">
        <v>2007</v>
      </c>
      <c r="B2" s="1" t="s">
        <v>0</v>
      </c>
      <c r="C2" s="1"/>
      <c r="D2" s="1">
        <v>1</v>
      </c>
      <c r="E2" s="1">
        <f t="shared" ref="E2:AH2" si="0">D2+1</f>
        <v>2</v>
      </c>
      <c r="F2" s="1">
        <f t="shared" si="0"/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  <c r="AI2" s="1"/>
    </row>
    <row r="3" spans="1:35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5"/>
    </row>
    <row r="4" spans="1:35" x14ac:dyDescent="0.2">
      <c r="A4" s="1" t="s">
        <v>1</v>
      </c>
      <c r="B4" s="6">
        <f t="array" ref="B4">SUM(D4:AH4-D5:AH5)</f>
        <v>384.22999999999996</v>
      </c>
      <c r="C4" s="3" t="s">
        <v>2</v>
      </c>
      <c r="D4" s="4"/>
      <c r="E4" s="4"/>
      <c r="F4" s="4">
        <v>12.7</v>
      </c>
      <c r="G4" s="4">
        <v>34.799999999999997</v>
      </c>
      <c r="H4" s="4">
        <v>12</v>
      </c>
      <c r="I4" s="4"/>
      <c r="J4" s="4"/>
      <c r="K4" s="4">
        <v>14.8</v>
      </c>
      <c r="L4" s="4">
        <v>34.4</v>
      </c>
      <c r="M4" s="4">
        <v>20</v>
      </c>
      <c r="N4" s="4">
        <v>17.600000000000001</v>
      </c>
      <c r="O4" s="4">
        <v>31.65</v>
      </c>
      <c r="P4" s="4">
        <v>27</v>
      </c>
      <c r="Q4" s="4"/>
      <c r="R4" s="4">
        <v>15</v>
      </c>
      <c r="S4" s="4">
        <v>45.25</v>
      </c>
      <c r="T4" s="4">
        <v>51</v>
      </c>
      <c r="U4" s="4">
        <v>15.8</v>
      </c>
      <c r="V4" s="4">
        <v>39.799999999999997</v>
      </c>
      <c r="W4" s="4">
        <v>18.5</v>
      </c>
      <c r="X4" s="4"/>
      <c r="Y4" s="4">
        <v>11</v>
      </c>
      <c r="Z4" s="4">
        <v>14.4</v>
      </c>
      <c r="AA4" s="4">
        <v>30.3</v>
      </c>
      <c r="AB4" s="4">
        <v>18.95</v>
      </c>
      <c r="AC4" s="4">
        <v>10.4</v>
      </c>
      <c r="AD4" s="4">
        <v>46.8</v>
      </c>
      <c r="AE4" s="4"/>
      <c r="AF4" s="4">
        <v>12</v>
      </c>
      <c r="AG4" s="4">
        <v>52.9</v>
      </c>
      <c r="AH4" s="4">
        <v>47.75</v>
      </c>
      <c r="AI4" s="5"/>
    </row>
    <row r="5" spans="1:35" x14ac:dyDescent="0.2">
      <c r="A5" s="7">
        <f>SUM(D4:AH4)</f>
        <v>634.79999999999995</v>
      </c>
      <c r="B5" s="8">
        <f>SUM(D5:AH5)</f>
        <v>250.57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>
        <f>128.47+122.1</f>
        <v>250.57</v>
      </c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2"/>
    </row>
    <row r="6" spans="1:35" x14ac:dyDescent="0.2">
      <c r="A6" s="1" t="s">
        <v>4</v>
      </c>
      <c r="B6" s="6">
        <f t="array" ref="B6">SUM(D6:AH6-D7:AH7)</f>
        <v>150.57000000000005</v>
      </c>
      <c r="C6" s="3" t="s">
        <v>2</v>
      </c>
      <c r="D6" s="4">
        <v>28.8</v>
      </c>
      <c r="E6" s="4">
        <v>18.850000000000001</v>
      </c>
      <c r="F6" s="4">
        <v>30.4</v>
      </c>
      <c r="G6" s="4"/>
      <c r="H6" s="4">
        <v>15</v>
      </c>
      <c r="I6" s="4">
        <v>21</v>
      </c>
      <c r="J6" s="4">
        <v>15</v>
      </c>
      <c r="K6" s="4">
        <v>17.399999999999999</v>
      </c>
      <c r="L6" s="4">
        <v>19.5</v>
      </c>
      <c r="M6" s="4">
        <v>47</v>
      </c>
      <c r="N6" s="4"/>
      <c r="O6" s="4"/>
      <c r="P6" s="4">
        <v>28.55</v>
      </c>
      <c r="Q6" s="4">
        <v>56.95</v>
      </c>
      <c r="R6" s="4">
        <v>16.2</v>
      </c>
      <c r="S6" s="4">
        <v>12.7</v>
      </c>
      <c r="T6" s="4">
        <v>18.350000000000001</v>
      </c>
      <c r="U6" s="4"/>
      <c r="V6" s="4">
        <v>11.3</v>
      </c>
      <c r="W6" s="4"/>
      <c r="X6" s="4">
        <v>33.5</v>
      </c>
      <c r="Y6" s="4">
        <v>22.1</v>
      </c>
      <c r="Z6" s="4">
        <v>68.7</v>
      </c>
      <c r="AA6" s="4">
        <v>15.2</v>
      </c>
      <c r="AB6" s="4"/>
      <c r="AC6" s="4"/>
      <c r="AD6" s="4">
        <v>32.75</v>
      </c>
      <c r="AE6" s="4">
        <v>28.75</v>
      </c>
      <c r="AF6" s="4"/>
      <c r="AG6" s="4"/>
      <c r="AH6" s="4"/>
      <c r="AI6" s="5"/>
    </row>
    <row r="7" spans="1:35" x14ac:dyDescent="0.2">
      <c r="A7" s="7">
        <f>SUM(D6:AH6)</f>
        <v>558</v>
      </c>
      <c r="B7" s="8">
        <f>SUM(D7:AH7)</f>
        <v>407.42999999999995</v>
      </c>
      <c r="C7" s="9" t="s">
        <v>3</v>
      </c>
      <c r="D7" s="10"/>
      <c r="E7" s="10"/>
      <c r="F7" s="10"/>
      <c r="G7" s="10"/>
      <c r="H7" s="10">
        <f>224.23+183.2</f>
        <v>407.42999999999995</v>
      </c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2"/>
    </row>
    <row r="8" spans="1:35" x14ac:dyDescent="0.2">
      <c r="A8" s="1" t="s">
        <v>5</v>
      </c>
      <c r="B8" s="6">
        <f t="array" ref="B8">SUM(D8:AH8-D9:AH9)</f>
        <v>503.30000000000013</v>
      </c>
      <c r="C8" s="3" t="s">
        <v>2</v>
      </c>
      <c r="D8" s="4">
        <v>22</v>
      </c>
      <c r="E8" s="4">
        <v>14</v>
      </c>
      <c r="F8" s="4">
        <v>14.5</v>
      </c>
      <c r="G8" s="4"/>
      <c r="H8" s="4">
        <v>11.2</v>
      </c>
      <c r="I8" s="4">
        <v>20</v>
      </c>
      <c r="J8" s="4">
        <v>14.95</v>
      </c>
      <c r="K8" s="4">
        <v>16.649999999999999</v>
      </c>
      <c r="L8" s="4">
        <v>18.95</v>
      </c>
      <c r="M8" s="4">
        <v>10</v>
      </c>
      <c r="N8" s="4"/>
      <c r="O8" s="4">
        <v>15.6</v>
      </c>
      <c r="P8" s="4">
        <v>17.05</v>
      </c>
      <c r="Q8" s="4">
        <v>29.7</v>
      </c>
      <c r="R8" s="4">
        <v>22.7</v>
      </c>
      <c r="S8" s="4">
        <v>54.6</v>
      </c>
      <c r="T8" s="4">
        <v>73</v>
      </c>
      <c r="U8" s="4"/>
      <c r="V8" s="4">
        <v>22.3</v>
      </c>
      <c r="W8" s="4">
        <v>29.3</v>
      </c>
      <c r="X8" s="4">
        <v>21.2</v>
      </c>
      <c r="Y8" s="4">
        <v>14.4</v>
      </c>
      <c r="Z8" s="4">
        <v>27</v>
      </c>
      <c r="AA8" s="4">
        <v>54.85</v>
      </c>
      <c r="AB8" s="4"/>
      <c r="AC8" s="4">
        <v>14.1</v>
      </c>
      <c r="AD8" s="4">
        <v>29</v>
      </c>
      <c r="AE8" s="4">
        <v>30.85</v>
      </c>
      <c r="AF8" s="4">
        <v>19</v>
      </c>
      <c r="AG8" s="4">
        <v>13.6</v>
      </c>
      <c r="AH8" s="4">
        <v>34.799999999999997</v>
      </c>
      <c r="AI8" s="5"/>
    </row>
    <row r="9" spans="1:35" x14ac:dyDescent="0.2">
      <c r="A9" s="7">
        <f>SUM(D8:AH8)</f>
        <v>665.3</v>
      </c>
      <c r="B9" s="8">
        <f>SUM(D9:AH9)</f>
        <v>162</v>
      </c>
      <c r="C9" s="9" t="s">
        <v>3</v>
      </c>
      <c r="D9" s="10"/>
      <c r="E9" s="10">
        <v>162</v>
      </c>
      <c r="F9" s="10"/>
      <c r="G9" s="10"/>
      <c r="H9" s="10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2"/>
    </row>
    <row r="10" spans="1:35" x14ac:dyDescent="0.2">
      <c r="A10" s="1" t="s">
        <v>6</v>
      </c>
      <c r="B10" s="6">
        <f t="array" ref="B10">SUM(D10:AH10-D11:AH11)</f>
        <v>340.05</v>
      </c>
      <c r="C10" s="3" t="s">
        <v>2</v>
      </c>
      <c r="D10" s="4"/>
      <c r="E10" s="4">
        <v>12.7</v>
      </c>
      <c r="F10" s="4">
        <v>34.4</v>
      </c>
      <c r="G10" s="4">
        <v>10</v>
      </c>
      <c r="H10" s="4">
        <v>77.400000000000006</v>
      </c>
      <c r="I10" s="4">
        <v>12.9</v>
      </c>
      <c r="J10" s="4">
        <v>12.4</v>
      </c>
      <c r="K10" s="4"/>
      <c r="L10" s="4"/>
      <c r="M10" s="4">
        <v>24</v>
      </c>
      <c r="N10" s="4">
        <v>59.8</v>
      </c>
      <c r="O10" s="4">
        <v>34.4</v>
      </c>
      <c r="P10" s="4">
        <v>67.2</v>
      </c>
      <c r="Q10" s="4">
        <v>42.2</v>
      </c>
      <c r="R10" s="4"/>
      <c r="S10" s="4">
        <v>15.9</v>
      </c>
      <c r="T10" s="4">
        <v>35.4</v>
      </c>
      <c r="U10" s="4">
        <v>33.549999999999997</v>
      </c>
      <c r="V10" s="4">
        <v>27</v>
      </c>
      <c r="W10" s="4"/>
      <c r="X10" s="4">
        <v>52.35</v>
      </c>
      <c r="Y10" s="4"/>
      <c r="Z10" s="4">
        <v>34.6</v>
      </c>
      <c r="AA10" s="4">
        <v>57.2</v>
      </c>
      <c r="AB10" s="4"/>
      <c r="AC10" s="4">
        <v>12</v>
      </c>
      <c r="AD10" s="4">
        <v>61.4</v>
      </c>
      <c r="AE10" s="4">
        <v>19.600000000000001</v>
      </c>
      <c r="AF10" s="4"/>
      <c r="AG10" s="4"/>
      <c r="AH10" s="4"/>
      <c r="AI10" s="5"/>
    </row>
    <row r="11" spans="1:35" x14ac:dyDescent="0.2">
      <c r="A11" s="7">
        <f>SUM(D10:AH10)</f>
        <v>736.4</v>
      </c>
      <c r="B11" s="8">
        <f>SUM(D11:AH11)</f>
        <v>396.34999999999997</v>
      </c>
      <c r="C11" s="9" t="s">
        <v>3</v>
      </c>
      <c r="D11" s="11"/>
      <c r="E11" s="10">
        <f>200.64+131.63+64.08</f>
        <v>396.34999999999997</v>
      </c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  <c r="AI11" s="12"/>
    </row>
    <row r="12" spans="1:35" x14ac:dyDescent="0.2">
      <c r="A12" s="1" t="s">
        <v>7</v>
      </c>
      <c r="B12" s="6">
        <f t="array" ref="B12">SUM(D12:AH12-D13:AH13)</f>
        <v>72.409999999999954</v>
      </c>
      <c r="C12" s="3" t="s">
        <v>2</v>
      </c>
      <c r="D12" s="4"/>
      <c r="E12" s="4">
        <v>15</v>
      </c>
      <c r="F12" s="4">
        <v>19.399999999999999</v>
      </c>
      <c r="G12" s="4">
        <v>17</v>
      </c>
      <c r="H12" s="4">
        <v>35.9</v>
      </c>
      <c r="I12" s="4"/>
      <c r="J12" s="4">
        <v>26.5</v>
      </c>
      <c r="K12" s="4">
        <v>51.6</v>
      </c>
      <c r="L12" s="4">
        <v>12.5</v>
      </c>
      <c r="M12" s="4">
        <v>65.599999999999994</v>
      </c>
      <c r="N12" s="4">
        <v>14.1</v>
      </c>
      <c r="O12" s="4">
        <v>15.4</v>
      </c>
      <c r="P12" s="4"/>
      <c r="Q12" s="4">
        <v>23.4</v>
      </c>
      <c r="R12" s="4"/>
      <c r="S12" s="4">
        <v>34.799999999999997</v>
      </c>
      <c r="T12" s="4">
        <v>17.2</v>
      </c>
      <c r="U12" s="4">
        <v>101.25</v>
      </c>
      <c r="V12" s="4">
        <v>89.8</v>
      </c>
      <c r="W12" s="4"/>
      <c r="X12" s="4">
        <v>13.8</v>
      </c>
      <c r="Y12" s="4">
        <v>28.95</v>
      </c>
      <c r="Z12" s="4">
        <v>47.25</v>
      </c>
      <c r="AA12" s="4">
        <v>25.3</v>
      </c>
      <c r="AB12" s="4">
        <v>15.8</v>
      </c>
      <c r="AC12" s="4">
        <v>12.5</v>
      </c>
      <c r="AD12" s="4"/>
      <c r="AE12" s="4"/>
      <c r="AF12" s="4">
        <v>10.199999999999999</v>
      </c>
      <c r="AG12" s="4">
        <v>49.6</v>
      </c>
      <c r="AH12" s="4">
        <v>57.35</v>
      </c>
      <c r="AI12" s="5"/>
    </row>
    <row r="13" spans="1:35" x14ac:dyDescent="0.2">
      <c r="A13" s="7">
        <f>SUM(D12:AH12)</f>
        <v>800.19999999999993</v>
      </c>
      <c r="B13" s="8">
        <f>SUM(D13:AH13)</f>
        <v>727.79</v>
      </c>
      <c r="C13" s="9" t="s">
        <v>3</v>
      </c>
      <c r="D13" s="10"/>
      <c r="E13" s="10">
        <f>262.1+231.98+64.51</f>
        <v>558.59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>
        <v>169.2</v>
      </c>
      <c r="AF13" s="10"/>
      <c r="AG13" s="10"/>
      <c r="AH13" s="10"/>
      <c r="AI13" s="12"/>
    </row>
    <row r="14" spans="1:35" x14ac:dyDescent="0.2">
      <c r="A14" s="1" t="s">
        <v>8</v>
      </c>
      <c r="B14" s="6">
        <f t="array" ref="B14">SUM(D14:AH14-D15:AH15)</f>
        <v>206.67999999999998</v>
      </c>
      <c r="C14" s="3" t="s">
        <v>2</v>
      </c>
      <c r="D14" s="4">
        <v>31.5</v>
      </c>
      <c r="E14" s="4"/>
      <c r="F14" s="4"/>
      <c r="G14" s="4">
        <v>16</v>
      </c>
      <c r="H14" s="4">
        <v>73.8</v>
      </c>
      <c r="I14" s="4">
        <v>45.5</v>
      </c>
      <c r="J14" s="4">
        <v>17.100000000000001</v>
      </c>
      <c r="K14" s="4">
        <v>33.1</v>
      </c>
      <c r="L14" s="4">
        <v>20</v>
      </c>
      <c r="M14" s="4"/>
      <c r="N14" s="4">
        <v>41.4</v>
      </c>
      <c r="O14" s="4">
        <v>23.1</v>
      </c>
      <c r="P14" s="4">
        <v>24</v>
      </c>
      <c r="Q14" s="4">
        <v>14.4</v>
      </c>
      <c r="R14" s="4">
        <v>34.299999999999997</v>
      </c>
      <c r="S14" s="4">
        <v>36.299999999999997</v>
      </c>
      <c r="T14" s="4"/>
      <c r="U14" s="4"/>
      <c r="V14" s="4">
        <v>18.899999999999999</v>
      </c>
      <c r="W14" s="4">
        <v>10</v>
      </c>
      <c r="X14" s="4">
        <v>16.5</v>
      </c>
      <c r="Y14" s="4">
        <v>24.3</v>
      </c>
      <c r="Z14" s="4">
        <v>29</v>
      </c>
      <c r="AA14" s="4"/>
      <c r="AB14" s="4">
        <v>15</v>
      </c>
      <c r="AC14" s="4">
        <v>28.8</v>
      </c>
      <c r="AD14" s="4">
        <v>14.6</v>
      </c>
      <c r="AE14" s="4">
        <v>15.2</v>
      </c>
      <c r="AF14" s="4">
        <v>14.1</v>
      </c>
      <c r="AG14" s="4">
        <v>41.9</v>
      </c>
      <c r="AH14" s="4"/>
      <c r="AI14" s="5"/>
    </row>
    <row r="15" spans="1:35" x14ac:dyDescent="0.2">
      <c r="A15" s="7">
        <f>SUM(D14:AH14)</f>
        <v>638.80000000000007</v>
      </c>
      <c r="B15" s="8">
        <f>SUM(D15:AH15)</f>
        <v>432.12</v>
      </c>
      <c r="C15" s="9" t="s">
        <v>3</v>
      </c>
      <c r="D15" s="10">
        <f>232.58+108.72+90.82</f>
        <v>432.12</v>
      </c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2"/>
    </row>
    <row r="16" spans="1:35" x14ac:dyDescent="0.2">
      <c r="A16" s="1" t="s">
        <v>9</v>
      </c>
      <c r="B16" s="6">
        <f t="array" ref="B16">SUM(D16:AH16-D17:AH17)</f>
        <v>-10.079999999999941</v>
      </c>
      <c r="C16" s="3" t="s">
        <v>2</v>
      </c>
      <c r="D16" s="4"/>
      <c r="E16" s="4">
        <v>29</v>
      </c>
      <c r="F16" s="4">
        <v>12</v>
      </c>
      <c r="G16" s="4">
        <v>12</v>
      </c>
      <c r="H16" s="4">
        <v>13.5</v>
      </c>
      <c r="I16" s="4">
        <v>15.6</v>
      </c>
      <c r="J16" s="4">
        <v>21.5</v>
      </c>
      <c r="K16" s="4"/>
      <c r="L16" s="4"/>
      <c r="M16" s="4">
        <v>37.4</v>
      </c>
      <c r="N16" s="4">
        <v>64.400000000000006</v>
      </c>
      <c r="O16" s="4">
        <v>32.75</v>
      </c>
      <c r="P16" s="4"/>
      <c r="Q16" s="4">
        <v>27</v>
      </c>
      <c r="R16" s="4"/>
      <c r="S16" s="4"/>
      <c r="T16" s="4">
        <v>13</v>
      </c>
      <c r="U16" s="4">
        <v>10</v>
      </c>
      <c r="V16" s="4"/>
      <c r="W16" s="4">
        <v>18</v>
      </c>
      <c r="X16" s="4">
        <v>70.2</v>
      </c>
      <c r="Y16" s="4"/>
      <c r="Z16" s="4">
        <v>31.05</v>
      </c>
      <c r="AA16" s="4"/>
      <c r="AB16" s="4">
        <v>12</v>
      </c>
      <c r="AC16" s="4">
        <v>31.2</v>
      </c>
      <c r="AD16" s="4">
        <v>52.8</v>
      </c>
      <c r="AE16" s="4">
        <v>20</v>
      </c>
      <c r="AF16" s="4"/>
      <c r="AG16" s="4"/>
      <c r="AH16" s="4"/>
      <c r="AI16" s="5"/>
    </row>
    <row r="17" spans="1:35" x14ac:dyDescent="0.2">
      <c r="A17" s="7">
        <f>SUM(D16:AH16)</f>
        <v>523.4</v>
      </c>
      <c r="B17" s="8">
        <f>SUM(D17:AH17)</f>
        <v>533.48</v>
      </c>
      <c r="C17" s="9" t="s">
        <v>3</v>
      </c>
      <c r="D17" s="10"/>
      <c r="E17" s="10"/>
      <c r="F17" s="10">
        <v>132</v>
      </c>
      <c r="G17" s="10"/>
      <c r="H17" s="10"/>
      <c r="I17" s="10"/>
      <c r="J17" s="10"/>
      <c r="K17" s="10"/>
      <c r="L17" s="10">
        <f>220.08+131.45+49.95</f>
        <v>401.47999999999996</v>
      </c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2"/>
    </row>
    <row r="18" spans="1:35" x14ac:dyDescent="0.2">
      <c r="A18" s="1" t="s">
        <v>10</v>
      </c>
      <c r="B18" s="6">
        <f t="array" ref="B18">SUM(D18:AH18-D19:AH19)</f>
        <v>-371.78</v>
      </c>
      <c r="C18" s="3" t="s">
        <v>2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5"/>
    </row>
    <row r="19" spans="1:35" x14ac:dyDescent="0.2">
      <c r="A19" s="7">
        <f>SUM(D18:AH18)</f>
        <v>0</v>
      </c>
      <c r="B19" s="8">
        <f>SUM(D19:AH19)</f>
        <v>371.78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>
        <f>173.45+99.11+99.22</f>
        <v>371.78</v>
      </c>
      <c r="AH19" s="10"/>
      <c r="AI19" s="12"/>
    </row>
    <row r="20" spans="1:35" x14ac:dyDescent="0.2">
      <c r="A20" s="1" t="s">
        <v>11</v>
      </c>
      <c r="B20" s="6">
        <f t="array" ref="B20">SUM(D20:AH20-D21:AH21)</f>
        <v>629.74999999999989</v>
      </c>
      <c r="C20" s="3" t="s">
        <v>2</v>
      </c>
      <c r="D20" s="4"/>
      <c r="E20" s="4"/>
      <c r="F20" s="4"/>
      <c r="G20" s="4">
        <v>19.8</v>
      </c>
      <c r="H20" s="4">
        <v>30.5</v>
      </c>
      <c r="I20" s="4">
        <v>50.9</v>
      </c>
      <c r="J20" s="4">
        <v>15</v>
      </c>
      <c r="K20" s="4">
        <v>33.5</v>
      </c>
      <c r="L20" s="4"/>
      <c r="M20" s="4">
        <v>89.2</v>
      </c>
      <c r="N20" s="4">
        <v>15.2</v>
      </c>
      <c r="O20" s="4">
        <v>30.95</v>
      </c>
      <c r="P20" s="4">
        <v>33.799999999999997</v>
      </c>
      <c r="Q20" s="4">
        <v>53</v>
      </c>
      <c r="R20" s="4">
        <v>21.45</v>
      </c>
      <c r="S20" s="4"/>
      <c r="T20" s="4"/>
      <c r="U20" s="4">
        <v>21.5</v>
      </c>
      <c r="V20" s="4">
        <v>21.25</v>
      </c>
      <c r="W20" s="4">
        <v>24</v>
      </c>
      <c r="X20" s="4">
        <v>17</v>
      </c>
      <c r="Y20" s="4">
        <v>50.8</v>
      </c>
      <c r="Z20" s="4"/>
      <c r="AA20" s="4">
        <v>13.2</v>
      </c>
      <c r="AB20" s="4">
        <v>24</v>
      </c>
      <c r="AC20" s="4"/>
      <c r="AD20" s="4">
        <v>12.1</v>
      </c>
      <c r="AE20" s="4">
        <v>19.3</v>
      </c>
      <c r="AF20" s="4">
        <v>33.299999999999997</v>
      </c>
      <c r="AG20" s="4"/>
      <c r="AH20" s="4"/>
      <c r="AI20" s="5"/>
    </row>
    <row r="21" spans="1:35" x14ac:dyDescent="0.2">
      <c r="A21" s="7">
        <f>SUM(D20:AH20)</f>
        <v>629.74999999999989</v>
      </c>
      <c r="B21" s="8">
        <f>SUM(D21:AH21)</f>
        <v>0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2"/>
    </row>
    <row r="22" spans="1:35" x14ac:dyDescent="0.2">
      <c r="A22" s="1" t="s">
        <v>12</v>
      </c>
      <c r="B22" s="6">
        <f t="array" ref="B22">SUM(D22:AH22-D23:AH23)</f>
        <v>262.36999999999995</v>
      </c>
      <c r="C22" s="3" t="s">
        <v>2</v>
      </c>
      <c r="D22" s="4">
        <v>11.65</v>
      </c>
      <c r="E22" s="4">
        <v>16.2</v>
      </c>
      <c r="F22" s="4">
        <v>22.2</v>
      </c>
      <c r="G22" s="4">
        <v>20.399999999999999</v>
      </c>
      <c r="H22" s="4">
        <v>17.899999999999999</v>
      </c>
      <c r="I22" s="4">
        <v>67.16</v>
      </c>
      <c r="J22" s="4"/>
      <c r="K22" s="4">
        <v>19.45</v>
      </c>
      <c r="L22" s="4">
        <v>25.2</v>
      </c>
      <c r="M22" s="4">
        <v>40.799999999999997</v>
      </c>
      <c r="N22" s="4">
        <v>15.35</v>
      </c>
      <c r="O22" s="4">
        <v>15</v>
      </c>
      <c r="P22" s="4">
        <v>52.05</v>
      </c>
      <c r="Q22" s="4"/>
      <c r="R22" s="4">
        <v>11.2</v>
      </c>
      <c r="S22" s="4">
        <v>86.05</v>
      </c>
      <c r="T22" s="4">
        <v>19.8</v>
      </c>
      <c r="U22" s="4">
        <v>15.65</v>
      </c>
      <c r="V22" s="4">
        <v>15.7</v>
      </c>
      <c r="W22" s="4">
        <v>71.599999999999994</v>
      </c>
      <c r="X22" s="4"/>
      <c r="Y22" s="4"/>
      <c r="Z22" s="4">
        <v>14.2</v>
      </c>
      <c r="AA22" s="4">
        <v>17.8</v>
      </c>
      <c r="AB22" s="4">
        <v>20.2</v>
      </c>
      <c r="AC22" s="4">
        <v>15.5</v>
      </c>
      <c r="AD22" s="4">
        <v>27.5</v>
      </c>
      <c r="AE22" s="4"/>
      <c r="AF22" s="4">
        <v>14.9</v>
      </c>
      <c r="AG22" s="4">
        <v>14.4</v>
      </c>
      <c r="AH22" s="4">
        <v>13.7</v>
      </c>
      <c r="AI22" s="5"/>
    </row>
    <row r="23" spans="1:35" x14ac:dyDescent="0.2">
      <c r="A23" s="7">
        <f>SUM(D22:AH22)</f>
        <v>681.56000000000006</v>
      </c>
      <c r="B23" s="8">
        <f>SUM(D23:AH23)</f>
        <v>419.19</v>
      </c>
      <c r="C23" s="9" t="s">
        <v>3</v>
      </c>
      <c r="D23" s="10"/>
      <c r="E23" s="10"/>
      <c r="F23" s="10"/>
      <c r="G23" s="10"/>
      <c r="H23" s="10">
        <f>194.15+138.46+86.58</f>
        <v>419.19</v>
      </c>
      <c r="I23" s="10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2"/>
    </row>
    <row r="24" spans="1:35" x14ac:dyDescent="0.2">
      <c r="A24" s="1" t="s">
        <v>13</v>
      </c>
      <c r="B24" s="6">
        <f t="array" ref="B24">SUM(D24:AH24-D25:AH25)</f>
        <v>207.42999999999998</v>
      </c>
      <c r="C24" s="3" t="s">
        <v>2</v>
      </c>
      <c r="D24" s="4"/>
      <c r="E24" s="4">
        <v>33</v>
      </c>
      <c r="F24" s="4">
        <v>13.3</v>
      </c>
      <c r="G24" s="4"/>
      <c r="H24" s="4">
        <v>36.65</v>
      </c>
      <c r="I24" s="4"/>
      <c r="J24" s="4">
        <v>35.85</v>
      </c>
      <c r="K24" s="4">
        <v>33.25</v>
      </c>
      <c r="L24" s="4">
        <v>20.7</v>
      </c>
      <c r="M24" s="4">
        <v>21.6</v>
      </c>
      <c r="N24" s="4"/>
      <c r="P24" s="4">
        <v>103</v>
      </c>
      <c r="Q24" s="4">
        <v>17</v>
      </c>
      <c r="R24" s="4">
        <v>79.2</v>
      </c>
      <c r="S24" s="4">
        <v>19.350000000000001</v>
      </c>
      <c r="T24" s="4">
        <v>94.13</v>
      </c>
      <c r="U24" s="4"/>
      <c r="V24" s="4">
        <v>12.5</v>
      </c>
      <c r="W24" s="4">
        <v>125.1</v>
      </c>
      <c r="X24" s="4">
        <v>21.5</v>
      </c>
      <c r="Y24" s="4">
        <v>12</v>
      </c>
      <c r="Z24" s="4"/>
      <c r="AA24" s="4">
        <v>21.95</v>
      </c>
      <c r="AB24" s="4"/>
      <c r="AC24" s="4">
        <v>30.1</v>
      </c>
      <c r="AD24" s="4">
        <v>58.5</v>
      </c>
      <c r="AE24" s="4">
        <v>35</v>
      </c>
      <c r="AF24" s="4">
        <v>22.1</v>
      </c>
      <c r="AG24" s="4"/>
      <c r="AH24" s="4"/>
      <c r="AI24" s="5"/>
    </row>
    <row r="25" spans="1:35" x14ac:dyDescent="0.2">
      <c r="A25" s="7">
        <f>SUM(D24:AH24)</f>
        <v>845.78000000000009</v>
      </c>
      <c r="B25" s="8">
        <f>SUM(D25:AH25)</f>
        <v>638.35</v>
      </c>
      <c r="C25" s="9" t="s">
        <v>3</v>
      </c>
      <c r="D25" s="10"/>
      <c r="E25" s="10"/>
      <c r="F25" s="10"/>
      <c r="G25" s="10"/>
      <c r="H25" s="10">
        <f>283.86+184.19+64.3</f>
        <v>532.35</v>
      </c>
      <c r="I25" s="10"/>
      <c r="J25" s="10"/>
      <c r="K25" s="10"/>
      <c r="L25" s="10"/>
      <c r="M25" s="10"/>
      <c r="N25" s="10"/>
      <c r="P25" s="10">
        <v>106</v>
      </c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2"/>
    </row>
    <row r="26" spans="1:35" x14ac:dyDescent="0.2">
      <c r="A26" s="1" t="s">
        <v>14</v>
      </c>
      <c r="B26" s="6">
        <f t="array" ref="B26">SUM(D26:AH26-D27:AH27)</f>
        <v>292.81000000000006</v>
      </c>
      <c r="C26" s="3" t="s">
        <v>2</v>
      </c>
      <c r="D26" s="4">
        <v>23.6</v>
      </c>
      <c r="E26" s="4"/>
      <c r="F26" s="4">
        <v>14.3</v>
      </c>
      <c r="G26" s="4">
        <v>12.5</v>
      </c>
      <c r="H26" s="4">
        <v>60.5</v>
      </c>
      <c r="I26" s="4">
        <v>84.1</v>
      </c>
      <c r="J26" s="4">
        <v>20</v>
      </c>
      <c r="K26" s="4"/>
      <c r="L26" s="4"/>
      <c r="M26" s="4">
        <v>34</v>
      </c>
      <c r="N26" s="4">
        <v>46.6</v>
      </c>
      <c r="O26" s="4">
        <v>29.8</v>
      </c>
      <c r="P26" s="4">
        <v>25</v>
      </c>
      <c r="Q26" s="4">
        <v>80.400000000000006</v>
      </c>
      <c r="R26" s="4">
        <v>32.5</v>
      </c>
      <c r="S26" s="4"/>
      <c r="T26" s="4">
        <v>11.4</v>
      </c>
      <c r="U26" s="4">
        <v>27.5</v>
      </c>
      <c r="V26" s="4"/>
      <c r="W26" s="4">
        <v>120.4</v>
      </c>
      <c r="X26" s="4">
        <v>15</v>
      </c>
      <c r="Y26" s="4">
        <v>43.25</v>
      </c>
      <c r="Z26" s="4">
        <v>16.3</v>
      </c>
      <c r="AA26" s="4">
        <v>129</v>
      </c>
      <c r="AB26" s="4"/>
      <c r="AC26" s="4"/>
      <c r="AD26" s="4"/>
      <c r="AE26" s="4">
        <v>26.6</v>
      </c>
      <c r="AF26" s="4">
        <v>27.6</v>
      </c>
      <c r="AG26" s="4">
        <v>31</v>
      </c>
      <c r="AH26" s="4"/>
      <c r="AI26" s="5"/>
    </row>
    <row r="27" spans="1:35" x14ac:dyDescent="0.2">
      <c r="A27" s="7">
        <f>SUM(D26:AH26)</f>
        <v>911.35</v>
      </c>
      <c r="B27" s="8">
        <f>SUM(D27:AH27)</f>
        <v>618.54</v>
      </c>
      <c r="C27" s="9" t="s">
        <v>3</v>
      </c>
      <c r="D27" s="10"/>
      <c r="E27" s="10"/>
      <c r="F27" s="10"/>
      <c r="G27" s="10"/>
      <c r="H27" s="12"/>
      <c r="I27" s="10">
        <f>228.5+216.54+61.5+38</f>
        <v>544.54</v>
      </c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>
        <v>74</v>
      </c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2"/>
    </row>
    <row r="28" spans="1:35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3"/>
    </row>
    <row r="29" spans="1:35" x14ac:dyDescent="0.2">
      <c r="A29" s="1" t="s">
        <v>15</v>
      </c>
      <c r="B29" s="17">
        <f>SUMPRODUCT((D4:AH4)+(D6:AH6)+(D8:AH8)+(D10:AH10)+(D12:AH12)+(D14:AH14)+(D16:AH16)+(D18:AH18)+(D20:AH20)+(D22:AH22)+(D24:AH24)+(D26:AH26))</f>
        <v>7625.34</v>
      </c>
      <c r="C29" s="3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5"/>
    </row>
    <row r="30" spans="1:35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4957.5999999999995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5"/>
    </row>
    <row r="31" spans="1:35" x14ac:dyDescent="0.2">
      <c r="A31" s="1" t="s">
        <v>17</v>
      </c>
      <c r="B31" s="6">
        <f>B29-B30</f>
        <v>2667.7400000000007</v>
      </c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5"/>
    </row>
    <row r="32" spans="1:35" x14ac:dyDescent="0.2">
      <c r="A32" s="1"/>
      <c r="B32" s="2"/>
      <c r="C32" s="3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5"/>
    </row>
  </sheetData>
  <conditionalFormatting sqref="B31">
    <cfRule type="cellIs" dxfId="39" priority="1" stopIfTrue="1" operator="lessThanOrEqual">
      <formula>0</formula>
    </cfRule>
    <cfRule type="cellIs" dxfId="38" priority="2" stopIfTrue="1" operator="greaterThanOr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"/>
  <sheetViews>
    <sheetView topLeftCell="A9" workbookViewId="0">
      <selection activeCell="A26" sqref="A26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4" width="6.5703125" bestFit="1" customWidth="1"/>
    <col min="5" max="5" width="5.5703125" bestFit="1" customWidth="1"/>
    <col min="6" max="14" width="6.5703125" bestFit="1" customWidth="1"/>
    <col min="15" max="15" width="5.5703125" bestFit="1" customWidth="1"/>
    <col min="16" max="19" width="6.5703125" bestFit="1" customWidth="1"/>
    <col min="20" max="20" width="5.5703125" bestFit="1" customWidth="1"/>
    <col min="21" max="27" width="6.5703125" bestFit="1" customWidth="1"/>
    <col min="28" max="28" width="5.5703125" bestFit="1" customWidth="1"/>
    <col min="29" max="30" width="6.5703125" bestFit="1" customWidth="1"/>
    <col min="31" max="31" width="5.5703125" bestFit="1" customWidth="1"/>
    <col min="32" max="32" width="6.5703125" bestFit="1" customWidth="1"/>
    <col min="33" max="34" width="5.5703125" bestFit="1" customWidth="1"/>
  </cols>
  <sheetData>
    <row r="1" spans="1:35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5"/>
    </row>
    <row r="2" spans="1:35" x14ac:dyDescent="0.2">
      <c r="A2" s="1">
        <v>2008</v>
      </c>
      <c r="B2" s="1" t="s">
        <v>0</v>
      </c>
      <c r="C2" s="1"/>
      <c r="D2" s="1">
        <v>1</v>
      </c>
      <c r="E2" s="1">
        <f t="shared" ref="E2:AH2" si="0">D2+1</f>
        <v>2</v>
      </c>
      <c r="F2" s="1">
        <f t="shared" si="0"/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  <c r="AI2" s="1"/>
    </row>
    <row r="3" spans="1:35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5"/>
    </row>
    <row r="4" spans="1:35" x14ac:dyDescent="0.2">
      <c r="A4" s="1" t="s">
        <v>1</v>
      </c>
      <c r="B4" s="6">
        <f t="array" ref="B4">SUM(D4:AH4-D5:AH5)</f>
        <v>153.63000000000008</v>
      </c>
      <c r="C4" s="3" t="s">
        <v>2</v>
      </c>
      <c r="D4" s="4"/>
      <c r="E4" s="4"/>
      <c r="F4" s="4">
        <v>10.5</v>
      </c>
      <c r="G4" s="4">
        <v>32</v>
      </c>
      <c r="H4" s="4">
        <v>95.8</v>
      </c>
      <c r="J4" s="4">
        <v>31</v>
      </c>
      <c r="K4" s="4">
        <v>17</v>
      </c>
      <c r="L4" s="4">
        <v>14.25</v>
      </c>
      <c r="M4" s="4">
        <v>34.9</v>
      </c>
      <c r="N4" s="4"/>
      <c r="O4" s="4">
        <v>34.799999999999997</v>
      </c>
      <c r="P4" s="4"/>
      <c r="Q4" s="4">
        <v>37.5</v>
      </c>
      <c r="R4" s="4">
        <v>11.8</v>
      </c>
      <c r="S4" s="4">
        <v>12.5</v>
      </c>
      <c r="T4" s="4">
        <v>4.2</v>
      </c>
      <c r="U4" s="4">
        <v>23.4</v>
      </c>
      <c r="V4" s="4">
        <v>38.700000000000003</v>
      </c>
      <c r="W4" s="4"/>
      <c r="X4" s="4">
        <v>4.7</v>
      </c>
      <c r="Y4" s="4">
        <v>19.8</v>
      </c>
      <c r="Z4" s="4">
        <v>23.5</v>
      </c>
      <c r="AA4" s="4">
        <v>38.6</v>
      </c>
      <c r="AB4" s="4">
        <v>7.8</v>
      </c>
      <c r="AC4" s="4">
        <v>38.799999999999997</v>
      </c>
      <c r="AD4" s="4"/>
      <c r="AE4" s="4">
        <v>11</v>
      </c>
      <c r="AF4" s="4">
        <v>7.5</v>
      </c>
      <c r="AG4" s="4">
        <v>24.7</v>
      </c>
      <c r="AH4" s="4">
        <v>96.95</v>
      </c>
      <c r="AI4" s="5"/>
    </row>
    <row r="5" spans="1:35" x14ac:dyDescent="0.2">
      <c r="A5" s="7">
        <f>SUM(D4:AH4)</f>
        <v>671.7</v>
      </c>
      <c r="B5" s="8">
        <f>SUM(D5:AH5)</f>
        <v>518.06999999999994</v>
      </c>
      <c r="C5" s="9" t="s">
        <v>3</v>
      </c>
      <c r="D5" s="10"/>
      <c r="E5" s="10"/>
      <c r="F5" s="11"/>
      <c r="G5" s="10"/>
      <c r="H5" s="10"/>
      <c r="J5" s="10">
        <f>256.68+242.34+19.05</f>
        <v>518.06999999999994</v>
      </c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2"/>
    </row>
    <row r="6" spans="1:35" x14ac:dyDescent="0.2">
      <c r="A6" s="1" t="s">
        <v>4</v>
      </c>
      <c r="B6" s="6">
        <f t="array" ref="B6">SUM(D6:AH6-D7:AH7)</f>
        <v>213.92000000000004</v>
      </c>
      <c r="C6" s="3" t="s">
        <v>2</v>
      </c>
      <c r="D6" s="4">
        <v>10.5</v>
      </c>
      <c r="E6" s="4">
        <v>18.2</v>
      </c>
      <c r="F6" s="4"/>
      <c r="G6" s="4">
        <v>10</v>
      </c>
      <c r="H6" s="4">
        <v>15</v>
      </c>
      <c r="I6" s="4">
        <v>13</v>
      </c>
      <c r="J6" s="4">
        <v>31.1</v>
      </c>
      <c r="K6" s="4">
        <v>24</v>
      </c>
      <c r="L6" s="4">
        <v>100.2</v>
      </c>
      <c r="M6" s="4"/>
      <c r="N6" s="4">
        <v>24.3</v>
      </c>
      <c r="O6" s="4">
        <v>12.3</v>
      </c>
      <c r="P6" s="4">
        <v>50.1</v>
      </c>
      <c r="Q6" s="4">
        <v>12.7</v>
      </c>
      <c r="R6" s="4">
        <v>17</v>
      </c>
      <c r="S6" s="4">
        <v>15.2</v>
      </c>
      <c r="T6" s="4"/>
      <c r="U6" s="4">
        <v>14.6</v>
      </c>
      <c r="V6" s="4">
        <v>33</v>
      </c>
      <c r="W6" s="4">
        <v>12</v>
      </c>
      <c r="X6" s="4">
        <v>15.6</v>
      </c>
      <c r="Y6" s="4">
        <v>11.2</v>
      </c>
      <c r="Z6" s="4">
        <v>61.05</v>
      </c>
      <c r="AA6" s="4"/>
      <c r="AB6" s="4">
        <v>13.8</v>
      </c>
      <c r="AC6" s="4">
        <v>12.9</v>
      </c>
      <c r="AD6" s="4">
        <v>13</v>
      </c>
      <c r="AE6" s="4">
        <v>46.65</v>
      </c>
      <c r="AF6" s="4">
        <v>7</v>
      </c>
      <c r="AG6" s="4"/>
      <c r="AH6" s="4"/>
      <c r="AI6" s="5"/>
    </row>
    <row r="7" spans="1:35" x14ac:dyDescent="0.2">
      <c r="A7" s="7">
        <f>SUM(D6:AH6)</f>
        <v>594.4</v>
      </c>
      <c r="B7" s="8">
        <f>SUM(D7:AH7)</f>
        <v>380.48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>
        <f>202.9+177.58</f>
        <v>380.48</v>
      </c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2"/>
    </row>
    <row r="8" spans="1:35" x14ac:dyDescent="0.2">
      <c r="A8" s="1" t="s">
        <v>5</v>
      </c>
      <c r="B8" s="6">
        <f t="array" ref="B8">SUM(D8:AH8-D9:AH9)</f>
        <v>625.55000000000007</v>
      </c>
      <c r="C8" s="3" t="s">
        <v>2</v>
      </c>
      <c r="D8" s="4">
        <v>14.5</v>
      </c>
      <c r="E8" s="4"/>
      <c r="F8" s="4"/>
      <c r="G8" s="4">
        <v>13</v>
      </c>
      <c r="H8" s="4"/>
      <c r="I8" s="4">
        <v>12.5</v>
      </c>
      <c r="J8" s="4">
        <v>34.15</v>
      </c>
      <c r="K8" s="4">
        <v>93.15</v>
      </c>
      <c r="L8" s="4"/>
      <c r="M8" s="4">
        <v>18</v>
      </c>
      <c r="N8" s="4">
        <v>15.45</v>
      </c>
      <c r="O8" s="4">
        <v>24.05</v>
      </c>
      <c r="P8" s="4">
        <v>10</v>
      </c>
      <c r="Q8" s="4">
        <v>55.4</v>
      </c>
      <c r="R8" s="4">
        <v>13.5</v>
      </c>
      <c r="S8" s="4"/>
      <c r="T8" s="4">
        <v>27.9</v>
      </c>
      <c r="U8" s="4">
        <v>53.4</v>
      </c>
      <c r="V8" s="4">
        <v>72.400000000000006</v>
      </c>
      <c r="W8" s="4">
        <v>17.600000000000001</v>
      </c>
      <c r="X8" s="4">
        <v>16.5</v>
      </c>
      <c r="Y8" s="4">
        <v>14.2</v>
      </c>
      <c r="Z8" s="4"/>
      <c r="AA8" s="4"/>
      <c r="AB8" s="4">
        <v>6.5</v>
      </c>
      <c r="AC8" s="4"/>
      <c r="AD8" s="4">
        <v>65</v>
      </c>
      <c r="AE8" s="4">
        <v>22.9</v>
      </c>
      <c r="AF8" s="4"/>
      <c r="AG8" s="4"/>
      <c r="AH8" s="4">
        <v>25.45</v>
      </c>
      <c r="AI8" s="5"/>
    </row>
    <row r="9" spans="1:35" x14ac:dyDescent="0.2">
      <c r="A9" s="7">
        <f>SUM(D8:AH8)</f>
        <v>625.55000000000007</v>
      </c>
      <c r="B9" s="8">
        <f>SUM(D9:AH9)</f>
        <v>0</v>
      </c>
      <c r="C9" s="9" t="s">
        <v>3</v>
      </c>
      <c r="D9" s="10"/>
      <c r="E9" s="10"/>
      <c r="F9" s="10"/>
      <c r="G9" s="10"/>
      <c r="H9" s="10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2"/>
    </row>
    <row r="10" spans="1:35" x14ac:dyDescent="0.2">
      <c r="A10" s="1" t="s">
        <v>6</v>
      </c>
      <c r="B10" s="6">
        <f t="array" ref="B10">SUM(D10:AH10-D11:AH11)</f>
        <v>111.13999999999999</v>
      </c>
      <c r="C10" s="3" t="s">
        <v>2</v>
      </c>
      <c r="D10" s="4"/>
      <c r="E10" s="4">
        <v>21</v>
      </c>
      <c r="F10" s="4">
        <v>32.5</v>
      </c>
      <c r="G10" s="4">
        <v>10</v>
      </c>
      <c r="H10" s="4">
        <v>63.9</v>
      </c>
      <c r="I10" s="4"/>
      <c r="J10" s="4"/>
      <c r="K10" s="4">
        <v>15</v>
      </c>
      <c r="L10" s="4"/>
      <c r="M10" s="4">
        <v>37.299999999999997</v>
      </c>
      <c r="N10" s="4">
        <v>26.9</v>
      </c>
      <c r="O10" s="4">
        <v>35.799999999999997</v>
      </c>
      <c r="P10" s="4"/>
      <c r="Q10" s="4">
        <v>10</v>
      </c>
      <c r="R10" s="4">
        <v>11.65</v>
      </c>
      <c r="S10" s="4">
        <v>51.75</v>
      </c>
      <c r="T10" s="4">
        <v>14.7</v>
      </c>
      <c r="U10" s="4">
        <v>22.4</v>
      </c>
      <c r="V10" s="4">
        <v>32.299999999999997</v>
      </c>
      <c r="W10" s="4"/>
      <c r="X10" s="4">
        <v>19.05</v>
      </c>
      <c r="Y10" s="4">
        <v>16</v>
      </c>
      <c r="Z10" s="4">
        <v>12.5</v>
      </c>
      <c r="AA10" s="4">
        <v>30</v>
      </c>
      <c r="AB10" s="4"/>
      <c r="AC10" s="4">
        <v>30.4</v>
      </c>
      <c r="AD10" s="4"/>
      <c r="AE10" s="4">
        <v>20.2</v>
      </c>
      <c r="AF10" s="4">
        <v>33.6</v>
      </c>
      <c r="AG10" s="4">
        <v>20.85</v>
      </c>
      <c r="AH10" s="4"/>
      <c r="AI10" s="5"/>
    </row>
    <row r="11" spans="1:35" x14ac:dyDescent="0.2">
      <c r="A11" s="7">
        <f>SUM(D10:AH10)</f>
        <v>567.79999999999995</v>
      </c>
      <c r="B11" s="8">
        <f>SUM(D11:AH11)</f>
        <v>456.66</v>
      </c>
      <c r="C11" s="9" t="s">
        <v>3</v>
      </c>
      <c r="D11" s="11"/>
      <c r="E11" s="10"/>
      <c r="F11" s="10"/>
      <c r="G11" s="10">
        <v>197</v>
      </c>
      <c r="H11" s="10"/>
      <c r="I11" s="10"/>
      <c r="J11" s="10"/>
      <c r="K11" s="10">
        <v>259.66000000000003</v>
      </c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  <c r="AI11" s="12"/>
    </row>
    <row r="12" spans="1:35" x14ac:dyDescent="0.2">
      <c r="A12" s="1" t="s">
        <v>7</v>
      </c>
      <c r="B12" s="6">
        <f t="array" ref="B12">SUM(D12:AH12-D13:AH13)</f>
        <v>326.08999999999997</v>
      </c>
      <c r="C12" s="3" t="s">
        <v>2</v>
      </c>
      <c r="D12" s="4"/>
      <c r="E12" s="4">
        <v>22.5</v>
      </c>
      <c r="F12" s="4">
        <v>31.9</v>
      </c>
      <c r="G12" s="4"/>
      <c r="H12" s="4">
        <v>11.5</v>
      </c>
      <c r="I12" s="4">
        <v>20.5</v>
      </c>
      <c r="J12" s="4">
        <v>10</v>
      </c>
      <c r="K12" s="4">
        <v>48</v>
      </c>
      <c r="L12" s="4">
        <v>63</v>
      </c>
      <c r="M12" s="4">
        <v>32.85</v>
      </c>
      <c r="N12" s="4"/>
      <c r="O12" s="4">
        <v>48.1</v>
      </c>
      <c r="P12" s="4">
        <v>19</v>
      </c>
      <c r="Q12" s="4">
        <v>15.5</v>
      </c>
      <c r="R12" s="4">
        <v>39.409999999999997</v>
      </c>
      <c r="S12" s="4">
        <v>15.9</v>
      </c>
      <c r="T12" s="4">
        <v>39.200000000000003</v>
      </c>
      <c r="U12" s="4"/>
      <c r="V12" s="4">
        <v>16.7</v>
      </c>
      <c r="W12" s="4">
        <v>39.35</v>
      </c>
      <c r="X12" s="4">
        <v>39</v>
      </c>
      <c r="Y12" s="4">
        <v>26.2</v>
      </c>
      <c r="Z12" s="4">
        <v>21.3</v>
      </c>
      <c r="AA12" s="4">
        <v>26.8</v>
      </c>
      <c r="AB12" s="4"/>
      <c r="AC12" s="4"/>
      <c r="AD12" s="4">
        <v>58.2</v>
      </c>
      <c r="AE12" s="4">
        <v>10</v>
      </c>
      <c r="AF12" s="4">
        <v>28.6</v>
      </c>
      <c r="AG12" s="4">
        <v>23.3</v>
      </c>
      <c r="AH12" s="4">
        <v>20.9</v>
      </c>
      <c r="AI12" s="5"/>
    </row>
    <row r="13" spans="1:35" x14ac:dyDescent="0.2">
      <c r="A13" s="7">
        <f>SUM(D12:AH12)</f>
        <v>727.70999999999992</v>
      </c>
      <c r="B13" s="8">
        <f>SUM(D13:AH13)</f>
        <v>401.62</v>
      </c>
      <c r="C13" s="9" t="s">
        <v>3</v>
      </c>
      <c r="D13" s="10"/>
      <c r="E13" s="10"/>
      <c r="F13" s="10"/>
      <c r="G13" s="10"/>
      <c r="H13" s="10"/>
      <c r="I13" s="10"/>
      <c r="J13" s="10">
        <f>203.68+120.88+77.06</f>
        <v>401.62</v>
      </c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  <c r="AI13" s="12"/>
    </row>
    <row r="14" spans="1:35" x14ac:dyDescent="0.2">
      <c r="A14" s="1" t="s">
        <v>8</v>
      </c>
      <c r="B14" s="6">
        <f t="array" ref="B14">SUM(D14:AH14-D15:AH15)</f>
        <v>173.32000000000005</v>
      </c>
      <c r="C14" s="3" t="s">
        <v>2</v>
      </c>
      <c r="D14" s="4"/>
      <c r="E14" s="4"/>
      <c r="F14" s="4">
        <v>16.5</v>
      </c>
      <c r="G14" s="4">
        <v>27.1</v>
      </c>
      <c r="H14" s="4">
        <v>35.5</v>
      </c>
      <c r="I14" s="4">
        <v>14.5</v>
      </c>
      <c r="J14" s="4">
        <v>14.2</v>
      </c>
      <c r="K14" s="4"/>
      <c r="L14" s="4">
        <v>15.2</v>
      </c>
      <c r="M14" s="4">
        <v>70.5</v>
      </c>
      <c r="N14" s="4">
        <v>30.8</v>
      </c>
      <c r="O14" s="4">
        <v>16</v>
      </c>
      <c r="P14" s="4">
        <v>13.8</v>
      </c>
      <c r="Q14" s="4">
        <v>20</v>
      </c>
      <c r="R14" s="4"/>
      <c r="S14" s="4">
        <v>13.6</v>
      </c>
      <c r="T14" s="4">
        <v>22.9</v>
      </c>
      <c r="U14" s="4">
        <v>12.3</v>
      </c>
      <c r="V14" s="4">
        <v>50</v>
      </c>
      <c r="W14" s="4">
        <v>11.2</v>
      </c>
      <c r="X14" s="4">
        <v>20.9</v>
      </c>
      <c r="Y14" s="4"/>
      <c r="Z14" s="4">
        <v>14.4</v>
      </c>
      <c r="AA14" s="4">
        <v>36.65</v>
      </c>
      <c r="AB14" s="4">
        <v>36.340000000000003</v>
      </c>
      <c r="AC14" s="4">
        <v>24.1</v>
      </c>
      <c r="AD14" s="4">
        <v>11</v>
      </c>
      <c r="AE14" s="4">
        <v>89.2</v>
      </c>
      <c r="AF14" s="4"/>
      <c r="AG14" s="4">
        <v>45</v>
      </c>
      <c r="AH14" s="4"/>
      <c r="AI14" s="5"/>
    </row>
    <row r="15" spans="1:35" x14ac:dyDescent="0.2">
      <c r="A15" s="7">
        <f>SUM(D14:AH14)</f>
        <v>661.69</v>
      </c>
      <c r="B15" s="8">
        <f>SUM(D15:AH15)</f>
        <v>488.37</v>
      </c>
      <c r="C15" s="9" t="s">
        <v>3</v>
      </c>
      <c r="D15" s="10"/>
      <c r="E15" s="10"/>
      <c r="F15" s="10">
        <f>239.59+162.5+86.28</f>
        <v>488.37</v>
      </c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2"/>
    </row>
    <row r="16" spans="1:35" x14ac:dyDescent="0.2">
      <c r="A16" s="1" t="s">
        <v>9</v>
      </c>
      <c r="B16" s="6">
        <f t="array" ref="B16">SUM(D16:AH16-D17:AH17)</f>
        <v>364.76000000000005</v>
      </c>
      <c r="C16" s="3" t="s">
        <v>2</v>
      </c>
      <c r="D16" s="4">
        <v>21.6</v>
      </c>
      <c r="E16" s="4">
        <v>20</v>
      </c>
      <c r="F16" s="4">
        <v>24</v>
      </c>
      <c r="G16" s="4">
        <v>57.45</v>
      </c>
      <c r="H16" s="4">
        <v>60.8</v>
      </c>
      <c r="I16" s="4"/>
      <c r="J16" s="4">
        <v>17</v>
      </c>
      <c r="K16" s="4">
        <v>38.299999999999997</v>
      </c>
      <c r="L16" s="4">
        <v>22</v>
      </c>
      <c r="M16" s="4">
        <v>13.7</v>
      </c>
      <c r="N16" s="4">
        <v>18</v>
      </c>
      <c r="O16" s="4">
        <v>27</v>
      </c>
      <c r="P16" s="4"/>
      <c r="Q16" s="4"/>
      <c r="R16" s="4">
        <v>10.8</v>
      </c>
      <c r="S16" s="4">
        <v>13.9</v>
      </c>
      <c r="T16" s="4">
        <v>18.2</v>
      </c>
      <c r="U16" s="4">
        <v>23.25</v>
      </c>
      <c r="V16" s="4">
        <v>16</v>
      </c>
      <c r="W16" s="4"/>
      <c r="X16" s="4"/>
      <c r="Y16" s="4">
        <v>36.799999999999997</v>
      </c>
      <c r="Z16" s="4">
        <v>27.5</v>
      </c>
      <c r="AA16" s="4">
        <v>106.6</v>
      </c>
      <c r="AB16" s="4">
        <v>75</v>
      </c>
      <c r="AC16" s="4"/>
      <c r="AD16" s="4"/>
      <c r="AE16" s="4">
        <v>10</v>
      </c>
      <c r="AF16" s="4">
        <v>52.7</v>
      </c>
      <c r="AG16" s="4"/>
      <c r="AH16" s="4">
        <v>33.9</v>
      </c>
      <c r="AI16" s="5"/>
    </row>
    <row r="17" spans="1:35" x14ac:dyDescent="0.2">
      <c r="A17" s="7">
        <f>SUM(D16:AH16)</f>
        <v>744.5</v>
      </c>
      <c r="B17" s="8">
        <f>SUM(D17:AH17)</f>
        <v>379.73999999999995</v>
      </c>
      <c r="C17" s="9" t="s">
        <v>3</v>
      </c>
      <c r="D17" s="10"/>
      <c r="E17" s="10"/>
      <c r="F17" s="10">
        <f>182.72+117.82+79.2</f>
        <v>379.73999999999995</v>
      </c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2"/>
    </row>
    <row r="18" spans="1:35" x14ac:dyDescent="0.2">
      <c r="A18" s="1" t="s">
        <v>10</v>
      </c>
      <c r="B18" s="6">
        <f t="array" ref="B18">SUM(D18:AH18-D19:AH19)</f>
        <v>0</v>
      </c>
      <c r="C18" s="3" t="s">
        <v>2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5"/>
    </row>
    <row r="19" spans="1:35" x14ac:dyDescent="0.2">
      <c r="A19" s="7">
        <f>SUM(D18:AH18)</f>
        <v>0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2"/>
    </row>
    <row r="20" spans="1:35" x14ac:dyDescent="0.2">
      <c r="A20" s="1" t="s">
        <v>11</v>
      </c>
      <c r="B20" s="6">
        <f t="array" ref="B20">SUM(D20:AH20-D21:AH21)</f>
        <v>210.89</v>
      </c>
      <c r="C20" s="3" t="s">
        <v>2</v>
      </c>
      <c r="D20" s="4"/>
      <c r="E20" s="4"/>
      <c r="F20" s="4"/>
      <c r="G20" s="4"/>
      <c r="H20" s="4"/>
      <c r="I20" s="4">
        <v>18.600000000000001</v>
      </c>
      <c r="J20" s="4"/>
      <c r="K20" s="4">
        <v>48.05</v>
      </c>
      <c r="L20" s="4">
        <v>61.6</v>
      </c>
      <c r="M20" s="4">
        <v>50.25</v>
      </c>
      <c r="N20" s="4">
        <v>11.65</v>
      </c>
      <c r="O20" s="4">
        <v>75.05</v>
      </c>
      <c r="P20" s="4">
        <v>13.4</v>
      </c>
      <c r="Q20" s="4"/>
      <c r="R20" s="4">
        <v>16.5</v>
      </c>
      <c r="S20" s="4">
        <v>16.600000000000001</v>
      </c>
      <c r="T20" s="4">
        <v>64.900000000000006</v>
      </c>
      <c r="U20" s="4">
        <v>65.2</v>
      </c>
      <c r="V20" s="4">
        <v>15</v>
      </c>
      <c r="W20" s="4">
        <v>15</v>
      </c>
      <c r="Z20" s="4">
        <v>10</v>
      </c>
      <c r="AA20" s="4">
        <v>30.2</v>
      </c>
      <c r="AB20" s="4">
        <v>30.4</v>
      </c>
      <c r="AC20" s="4">
        <v>11.7</v>
      </c>
      <c r="AD20" s="4">
        <v>14.9</v>
      </c>
      <c r="AE20" s="4"/>
      <c r="AF20" s="4">
        <v>18.600000000000001</v>
      </c>
      <c r="AG20" s="4">
        <v>28.6</v>
      </c>
      <c r="AH20" s="4"/>
      <c r="AI20" s="5"/>
    </row>
    <row r="21" spans="1:35" x14ac:dyDescent="0.2">
      <c r="A21" s="7">
        <f>SUM(D20:AH20)</f>
        <v>616.20000000000005</v>
      </c>
      <c r="B21" s="8">
        <f>SUM(D21:AH21)</f>
        <v>405.31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>
        <f>172.27+156.71+76.33</f>
        <v>405.31</v>
      </c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2"/>
    </row>
    <row r="22" spans="1:35" x14ac:dyDescent="0.2">
      <c r="A22" s="1" t="s">
        <v>12</v>
      </c>
      <c r="B22" s="6">
        <f t="array" ref="B22">SUM(D22:AH22-D23:AH23)</f>
        <v>363.34000000000009</v>
      </c>
      <c r="C22" s="3" t="s">
        <v>2</v>
      </c>
      <c r="D22" s="4">
        <v>40.200000000000003</v>
      </c>
      <c r="E22" s="4">
        <v>15.4</v>
      </c>
      <c r="F22" s="4">
        <v>31.6</v>
      </c>
      <c r="G22" s="4">
        <v>27.6</v>
      </c>
      <c r="H22" s="4"/>
      <c r="I22" s="4">
        <v>13.1</v>
      </c>
      <c r="J22" s="4">
        <v>33.299999999999997</v>
      </c>
      <c r="K22" s="4">
        <v>120</v>
      </c>
      <c r="L22" s="4">
        <v>26.3</v>
      </c>
      <c r="M22" s="4">
        <v>42.3</v>
      </c>
      <c r="N22" s="4">
        <v>45</v>
      </c>
      <c r="O22" s="4"/>
      <c r="P22" s="4">
        <v>12.2</v>
      </c>
      <c r="Q22" s="4">
        <v>86</v>
      </c>
      <c r="R22" s="4">
        <v>15.5</v>
      </c>
      <c r="S22" s="4">
        <v>30.8</v>
      </c>
      <c r="T22" s="4">
        <v>46.3</v>
      </c>
      <c r="U22" s="4">
        <v>48.3</v>
      </c>
      <c r="V22" s="4"/>
      <c r="W22" s="4">
        <v>12.4</v>
      </c>
      <c r="X22" s="4"/>
      <c r="Y22" s="4">
        <v>15.8</v>
      </c>
      <c r="Z22" s="4">
        <v>26.1</v>
      </c>
      <c r="AA22" s="4">
        <v>60.4</v>
      </c>
      <c r="AB22" s="4">
        <v>20.5</v>
      </c>
      <c r="AC22" s="4"/>
      <c r="AD22" s="4"/>
      <c r="AE22" s="4">
        <v>18</v>
      </c>
      <c r="AF22" s="4"/>
      <c r="AG22" s="4">
        <v>14.5</v>
      </c>
      <c r="AH22" s="4">
        <v>49.8</v>
      </c>
      <c r="AI22" s="5"/>
    </row>
    <row r="23" spans="1:35" x14ac:dyDescent="0.2">
      <c r="A23" s="7">
        <f>SUM(D22:AH22)</f>
        <v>851.39999999999975</v>
      </c>
      <c r="B23" s="8">
        <f>SUM(D23:AH23)</f>
        <v>488.06</v>
      </c>
      <c r="C23" s="9" t="s">
        <v>3</v>
      </c>
      <c r="D23" s="10"/>
      <c r="E23" s="10"/>
      <c r="F23" s="10"/>
      <c r="G23" s="10"/>
      <c r="H23" s="12"/>
      <c r="I23" s="10">
        <f>229.34+156.92+101.8</f>
        <v>488.06</v>
      </c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2"/>
    </row>
    <row r="24" spans="1:35" x14ac:dyDescent="0.2">
      <c r="A24" s="1" t="s">
        <v>13</v>
      </c>
      <c r="B24" s="6">
        <f t="array" ref="B24">SUM(D24:AH24-D25:AH25)</f>
        <v>58.269999999999989</v>
      </c>
      <c r="C24" s="3" t="s">
        <v>2</v>
      </c>
      <c r="D24" s="4"/>
      <c r="E24" s="4"/>
      <c r="F24" s="4">
        <v>6.5</v>
      </c>
      <c r="G24" s="4">
        <v>10.9</v>
      </c>
      <c r="H24" s="4">
        <v>13</v>
      </c>
      <c r="I24" s="4">
        <v>24.6</v>
      </c>
      <c r="J24" s="4">
        <v>19.100000000000001</v>
      </c>
      <c r="K24" s="4">
        <v>45.2</v>
      </c>
      <c r="L24" s="4"/>
      <c r="M24" s="4">
        <v>11.2</v>
      </c>
      <c r="N24" s="4">
        <v>22.6</v>
      </c>
      <c r="O24" s="4">
        <v>40.450000000000003</v>
      </c>
      <c r="P24" s="4"/>
      <c r="Q24" s="4">
        <v>58.25</v>
      </c>
      <c r="R24" s="4">
        <v>46</v>
      </c>
      <c r="S24" s="4"/>
      <c r="T24" s="4">
        <v>49.2</v>
      </c>
      <c r="U24" s="4">
        <v>16.7</v>
      </c>
      <c r="V24" s="4"/>
      <c r="W24" s="4">
        <v>59</v>
      </c>
      <c r="X24" s="4">
        <v>12.8</v>
      </c>
      <c r="Y24" s="4">
        <v>32.700000000000003</v>
      </c>
      <c r="Z24" s="4"/>
      <c r="AA24" s="4">
        <v>13.2</v>
      </c>
      <c r="AB24" s="4">
        <v>36.799999999999997</v>
      </c>
      <c r="AC24" s="4">
        <v>10.5</v>
      </c>
      <c r="AD24" s="4">
        <v>33.299999999999997</v>
      </c>
      <c r="AE24" s="4">
        <v>17</v>
      </c>
      <c r="AF24" s="4">
        <v>21.6</v>
      </c>
      <c r="AG24" s="4"/>
      <c r="AH24" s="4"/>
      <c r="AI24" s="5"/>
    </row>
    <row r="25" spans="1:35" x14ac:dyDescent="0.2">
      <c r="A25" s="7">
        <f>SUM(D24:AH24)</f>
        <v>600.59999999999991</v>
      </c>
      <c r="B25" s="8">
        <f>SUM(D25:AH25)</f>
        <v>542.33000000000004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>
        <f>323.94+160.78+57.61</f>
        <v>542.33000000000004</v>
      </c>
      <c r="AB25" s="10"/>
      <c r="AC25" s="10"/>
      <c r="AD25" s="10"/>
      <c r="AE25" s="10"/>
      <c r="AF25" s="10"/>
      <c r="AG25" s="10"/>
      <c r="AH25" s="10"/>
      <c r="AI25" s="12"/>
    </row>
    <row r="26" spans="1:35" x14ac:dyDescent="0.2">
      <c r="A26" s="1" t="s">
        <v>14</v>
      </c>
      <c r="B26" s="6">
        <f t="array" ref="B26">SUM(D26:AH26-D27:AH27)</f>
        <v>174.03000000000006</v>
      </c>
      <c r="C26" s="3" t="s">
        <v>2</v>
      </c>
      <c r="D26" s="4"/>
      <c r="E26" s="4">
        <v>95.1</v>
      </c>
      <c r="F26" s="4">
        <v>10.4</v>
      </c>
      <c r="G26" s="4">
        <v>14</v>
      </c>
      <c r="H26" s="4">
        <v>65</v>
      </c>
      <c r="I26" s="4">
        <v>44.2</v>
      </c>
      <c r="J26" s="4"/>
      <c r="K26" s="4"/>
      <c r="L26" s="4">
        <v>25.65</v>
      </c>
      <c r="M26" s="4">
        <v>22.1</v>
      </c>
      <c r="N26" s="4">
        <v>29.4</v>
      </c>
      <c r="O26" s="4">
        <v>48.2</v>
      </c>
      <c r="P26" s="4">
        <v>43.5</v>
      </c>
      <c r="Q26" s="4"/>
      <c r="R26" s="4">
        <v>37.299999999999997</v>
      </c>
      <c r="S26" s="4">
        <v>35.299999999999997</v>
      </c>
      <c r="T26" s="4">
        <v>14.6</v>
      </c>
      <c r="U26" s="4">
        <v>31</v>
      </c>
      <c r="V26" s="4">
        <v>11.1</v>
      </c>
      <c r="W26" s="4">
        <v>43.9</v>
      </c>
      <c r="X26" s="4"/>
      <c r="Y26" s="4">
        <v>14.6</v>
      </c>
      <c r="Z26" s="4">
        <v>44.8</v>
      </c>
      <c r="AA26" s="4">
        <v>119.9</v>
      </c>
      <c r="AB26" s="4"/>
      <c r="AC26" s="4"/>
      <c r="AD26" s="4">
        <v>26.8</v>
      </c>
      <c r="AE26" s="4"/>
      <c r="AF26" s="4">
        <v>16.5</v>
      </c>
      <c r="AG26" s="4">
        <v>35.799999999999997</v>
      </c>
      <c r="AH26" s="4">
        <v>33.1</v>
      </c>
      <c r="AI26" s="5"/>
    </row>
    <row r="27" spans="1:35" x14ac:dyDescent="0.2">
      <c r="A27" s="7">
        <f>SUM(D26:AH26)</f>
        <v>862.24999999999989</v>
      </c>
      <c r="B27" s="8">
        <f>SUM(D27:AH27)</f>
        <v>688.22</v>
      </c>
      <c r="C27" s="9" t="s">
        <v>3</v>
      </c>
      <c r="D27" s="10"/>
      <c r="E27" s="10"/>
      <c r="F27" s="10"/>
      <c r="G27" s="10"/>
      <c r="H27" s="10">
        <v>207</v>
      </c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>
        <f>297.5+183.72</f>
        <v>481.22</v>
      </c>
      <c r="Z27" s="10"/>
      <c r="AA27" s="10"/>
      <c r="AB27" s="10"/>
      <c r="AC27" s="10"/>
      <c r="AD27" s="10"/>
      <c r="AE27" s="10"/>
      <c r="AF27" s="10"/>
      <c r="AG27" s="10"/>
      <c r="AH27" s="10"/>
      <c r="AI27" s="12"/>
    </row>
    <row r="28" spans="1:35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3"/>
    </row>
    <row r="29" spans="1:35" x14ac:dyDescent="0.2">
      <c r="A29" s="1" t="s">
        <v>15</v>
      </c>
      <c r="B29" s="17">
        <f>SUMPRODUCT((D4:AH4)+(D6:AH6)+(D8:AH8)+(D10:AH10)+(D12:AH12)+(D14:AH14)+(D16:AH16)+(D18:AH18)+(D20:AH20)+(D22:AH22)+(D24:AH24)+(D26:AH26))</f>
        <v>7523.8</v>
      </c>
      <c r="C29" s="3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5"/>
    </row>
    <row r="30" spans="1:35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4748.8599999999997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5"/>
    </row>
    <row r="31" spans="1:35" x14ac:dyDescent="0.2">
      <c r="A31" s="1" t="s">
        <v>17</v>
      </c>
      <c r="B31" s="6">
        <f>B29-B30</f>
        <v>2774.9400000000005</v>
      </c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5"/>
    </row>
    <row r="32" spans="1:35" x14ac:dyDescent="0.2">
      <c r="A32" s="1"/>
      <c r="B32" s="2"/>
      <c r="C32" s="3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5"/>
    </row>
  </sheetData>
  <conditionalFormatting sqref="B31">
    <cfRule type="cellIs" dxfId="37" priority="1" stopIfTrue="1" operator="lessThanOrEqual">
      <formula>0</formula>
    </cfRule>
    <cfRule type="cellIs" dxfId="36" priority="2" stopIfTrue="1" operator="greaterThanOr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"/>
  <sheetViews>
    <sheetView topLeftCell="A7" workbookViewId="0">
      <selection activeCell="B31" sqref="B31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9" width="6.5703125" bestFit="1" customWidth="1"/>
    <col min="10" max="10" width="5.5703125" bestFit="1" customWidth="1"/>
    <col min="11" max="14" width="6.5703125" bestFit="1" customWidth="1"/>
    <col min="15" max="15" width="5.5703125" bestFit="1" customWidth="1"/>
    <col min="16" max="19" width="6.5703125" bestFit="1" customWidth="1"/>
    <col min="20" max="21" width="5.5703125" bestFit="1" customWidth="1"/>
    <col min="22" max="27" width="6.5703125" bestFit="1" customWidth="1"/>
    <col min="28" max="28" width="5.5703125" bestFit="1" customWidth="1"/>
    <col min="29" max="32" width="6.5703125" bestFit="1" customWidth="1"/>
    <col min="33" max="34" width="5.5703125" bestFit="1" customWidth="1"/>
  </cols>
  <sheetData>
    <row r="1" spans="1:35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5"/>
    </row>
    <row r="2" spans="1:35" x14ac:dyDescent="0.2">
      <c r="A2" s="1">
        <v>2009</v>
      </c>
      <c r="B2" s="1" t="s">
        <v>0</v>
      </c>
      <c r="C2" s="1"/>
      <c r="D2" s="1">
        <v>1</v>
      </c>
      <c r="E2" s="1">
        <f t="shared" ref="E2:AH2" si="0">D2+1</f>
        <v>2</v>
      </c>
      <c r="F2" s="1">
        <f t="shared" si="0"/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  <c r="AI2" s="1"/>
    </row>
    <row r="3" spans="1:35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5"/>
    </row>
    <row r="4" spans="1:35" x14ac:dyDescent="0.2">
      <c r="A4" s="1" t="s">
        <v>1</v>
      </c>
      <c r="B4" s="6">
        <f t="array" ref="B4">SUM(D4:AH4-D5:AH5)</f>
        <v>119.78999999999998</v>
      </c>
      <c r="C4" s="3" t="s">
        <v>2</v>
      </c>
      <c r="D4" s="4"/>
      <c r="E4" s="4">
        <v>18.649999999999999</v>
      </c>
      <c r="F4" s="4">
        <v>13.6</v>
      </c>
      <c r="G4" s="4"/>
      <c r="H4" s="4"/>
      <c r="I4" s="4"/>
      <c r="J4" s="4">
        <v>12.6</v>
      </c>
      <c r="K4" s="4">
        <v>15.8</v>
      </c>
      <c r="L4" s="4">
        <v>63.3</v>
      </c>
      <c r="M4" s="4">
        <v>110.7</v>
      </c>
      <c r="N4" s="4"/>
      <c r="O4" s="4">
        <v>11.4</v>
      </c>
      <c r="P4" s="4">
        <v>48.65</v>
      </c>
      <c r="Q4" s="4">
        <v>43</v>
      </c>
      <c r="R4" s="4">
        <v>49.9</v>
      </c>
      <c r="S4" s="4">
        <v>22</v>
      </c>
      <c r="T4" s="4">
        <v>13.3</v>
      </c>
      <c r="U4" s="4"/>
      <c r="V4" s="4">
        <v>45.8</v>
      </c>
      <c r="W4" s="4">
        <v>12</v>
      </c>
      <c r="X4" s="4">
        <v>14.4</v>
      </c>
      <c r="Y4" s="4">
        <v>66</v>
      </c>
      <c r="Z4" s="4">
        <v>13.4</v>
      </c>
      <c r="AA4" s="4">
        <v>19.5</v>
      </c>
      <c r="AB4" s="4"/>
      <c r="AC4" s="4"/>
      <c r="AD4" s="4">
        <v>12.7</v>
      </c>
      <c r="AE4" s="4">
        <v>21.7</v>
      </c>
      <c r="AF4" s="4">
        <v>13.8</v>
      </c>
      <c r="AG4" s="4">
        <v>10.199999999999999</v>
      </c>
      <c r="AH4" s="4"/>
      <c r="AI4" s="5"/>
    </row>
    <row r="5" spans="1:35" x14ac:dyDescent="0.2">
      <c r="A5" s="7">
        <f>SUM(D4:AH4)</f>
        <v>652.4</v>
      </c>
      <c r="B5" s="8">
        <f>SUM(D5:AH5)</f>
        <v>532.61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>
        <f>181.19+272.94+78.48</f>
        <v>532.61</v>
      </c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2"/>
    </row>
    <row r="6" spans="1:35" x14ac:dyDescent="0.2">
      <c r="A6" s="1" t="s">
        <v>4</v>
      </c>
      <c r="B6" s="6">
        <f t="array" ref="B6">SUM(D6:AH6-D7:AH7)</f>
        <v>474.75000000000006</v>
      </c>
      <c r="C6" s="3" t="s">
        <v>2</v>
      </c>
      <c r="D6" s="4"/>
      <c r="E6" s="4"/>
      <c r="F6" s="4">
        <v>10</v>
      </c>
      <c r="G6" s="4">
        <v>43</v>
      </c>
      <c r="H6" s="4">
        <v>12.1</v>
      </c>
      <c r="I6" s="4">
        <v>13.2</v>
      </c>
      <c r="J6" s="4"/>
      <c r="K6" s="4"/>
      <c r="L6" s="4">
        <v>15</v>
      </c>
      <c r="M6" s="4">
        <v>30.95</v>
      </c>
      <c r="N6" s="4">
        <v>10</v>
      </c>
      <c r="O6" s="4">
        <v>14.1</v>
      </c>
      <c r="P6" s="4">
        <v>38.6</v>
      </c>
      <c r="Q6" s="4">
        <v>14</v>
      </c>
      <c r="R6" s="4"/>
      <c r="S6" s="4">
        <v>26.3</v>
      </c>
      <c r="T6" s="4">
        <v>97.3</v>
      </c>
      <c r="U6" s="4"/>
      <c r="V6" s="4">
        <v>18.600000000000001</v>
      </c>
      <c r="W6" s="4">
        <v>18.100000000000001</v>
      </c>
      <c r="X6" s="4">
        <v>14.8</v>
      </c>
      <c r="Y6" s="4"/>
      <c r="Z6" s="4"/>
      <c r="AA6" s="4">
        <v>52.5</v>
      </c>
      <c r="AB6" s="4">
        <v>13.2</v>
      </c>
      <c r="AC6" s="4">
        <v>14.5</v>
      </c>
      <c r="AD6" s="4"/>
      <c r="AE6" s="4">
        <v>18.5</v>
      </c>
      <c r="AF6" s="4"/>
      <c r="AG6" s="4"/>
      <c r="AH6" s="4"/>
      <c r="AI6" s="5"/>
    </row>
    <row r="7" spans="1:35" x14ac:dyDescent="0.2">
      <c r="A7" s="7">
        <f>SUM(D6:AH6)</f>
        <v>474.75000000000006</v>
      </c>
      <c r="B7" s="8">
        <f>SUM(D7:AH7)</f>
        <v>0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2"/>
    </row>
    <row r="8" spans="1:35" x14ac:dyDescent="0.2">
      <c r="A8" s="1" t="s">
        <v>5</v>
      </c>
      <c r="B8" s="6">
        <f t="array" ref="B8">SUM(D8:AH8-D9:AH9)</f>
        <v>206.23000000000002</v>
      </c>
      <c r="C8" s="3" t="s">
        <v>2</v>
      </c>
      <c r="D8" s="4"/>
      <c r="E8" s="4"/>
      <c r="F8" s="4">
        <v>14.8</v>
      </c>
      <c r="G8" s="4">
        <v>10</v>
      </c>
      <c r="H8" s="4">
        <v>14.5</v>
      </c>
      <c r="I8" s="4">
        <v>48.8</v>
      </c>
      <c r="J8" s="4">
        <v>30.15</v>
      </c>
      <c r="K8" s="4"/>
      <c r="L8" s="4">
        <v>13</v>
      </c>
      <c r="M8" s="4"/>
      <c r="N8" s="4">
        <v>29.45</v>
      </c>
      <c r="O8" s="4">
        <v>22.1</v>
      </c>
      <c r="P8" s="4">
        <v>16.899999999999999</v>
      </c>
      <c r="Q8" s="4">
        <v>31.8</v>
      </c>
      <c r="R8" s="4"/>
      <c r="S8" s="4">
        <v>12.9</v>
      </c>
      <c r="T8" s="4">
        <v>13</v>
      </c>
      <c r="U8" s="4">
        <v>18.2</v>
      </c>
      <c r="V8" s="4">
        <v>51</v>
      </c>
      <c r="W8" s="4">
        <v>11.1</v>
      </c>
      <c r="X8" s="4">
        <v>29.4</v>
      </c>
      <c r="Y8" s="4"/>
      <c r="Z8" s="4"/>
      <c r="AA8" s="4">
        <v>15.2</v>
      </c>
      <c r="AB8" s="4">
        <v>12.2</v>
      </c>
      <c r="AC8" s="4">
        <v>18.2</v>
      </c>
      <c r="AD8" s="4">
        <v>51.4</v>
      </c>
      <c r="AE8" s="4">
        <v>17.5</v>
      </c>
      <c r="AF8" s="4"/>
      <c r="AG8" s="4">
        <v>56.8</v>
      </c>
      <c r="AH8" s="4">
        <v>20.8</v>
      </c>
      <c r="AI8" s="5"/>
    </row>
    <row r="9" spans="1:35" x14ac:dyDescent="0.2">
      <c r="A9" s="7">
        <f>SUM(D8:AH8)</f>
        <v>559.19999999999982</v>
      </c>
      <c r="B9" s="8">
        <f>SUM(D9:AH9)</f>
        <v>352.97</v>
      </c>
      <c r="C9" s="9" t="s">
        <v>3</v>
      </c>
      <c r="D9" s="10"/>
      <c r="E9" s="10">
        <f>178.64+114.73+59.6</f>
        <v>352.97</v>
      </c>
      <c r="F9" s="10"/>
      <c r="G9" s="10"/>
      <c r="H9" s="10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2"/>
    </row>
    <row r="10" spans="1:35" x14ac:dyDescent="0.2">
      <c r="A10" s="1" t="s">
        <v>6</v>
      </c>
      <c r="B10" s="6">
        <f t="array" ref="B10">SUM(D10:AH10-D11:AH11)</f>
        <v>165.91000000000005</v>
      </c>
      <c r="C10" s="3" t="s">
        <v>2</v>
      </c>
      <c r="D10" s="4">
        <v>12.5</v>
      </c>
      <c r="E10" s="4">
        <v>13</v>
      </c>
      <c r="F10" s="4">
        <v>26.15</v>
      </c>
      <c r="G10" s="4">
        <v>16.25</v>
      </c>
      <c r="H10" s="4"/>
      <c r="I10" s="4">
        <v>10</v>
      </c>
      <c r="J10" s="4">
        <v>11.6</v>
      </c>
      <c r="K10" s="4">
        <v>63.9</v>
      </c>
      <c r="L10" s="4">
        <v>31</v>
      </c>
      <c r="M10" s="4">
        <v>14.6</v>
      </c>
      <c r="N10" s="4">
        <v>15.3</v>
      </c>
      <c r="O10" s="4"/>
      <c r="P10" s="4"/>
      <c r="Q10" s="4">
        <v>40.5</v>
      </c>
      <c r="R10" s="4">
        <v>14.3</v>
      </c>
      <c r="S10" s="4">
        <v>28.5</v>
      </c>
      <c r="T10" s="4">
        <v>12.1</v>
      </c>
      <c r="U10" s="4">
        <v>57</v>
      </c>
      <c r="V10" s="4"/>
      <c r="W10" s="4">
        <v>89.7</v>
      </c>
      <c r="X10" s="4">
        <v>69.650000000000006</v>
      </c>
      <c r="Y10" s="4">
        <v>133.4</v>
      </c>
      <c r="Z10" s="4">
        <v>13.4</v>
      </c>
      <c r="AA10" s="4">
        <v>32.9</v>
      </c>
      <c r="AB10" s="4"/>
      <c r="AC10" s="4"/>
      <c r="AD10" s="4">
        <v>18</v>
      </c>
      <c r="AE10" s="4">
        <v>13.4</v>
      </c>
      <c r="AF10" s="4"/>
      <c r="AG10" s="4">
        <v>14.9</v>
      </c>
      <c r="AH10" s="4"/>
      <c r="AI10" s="5"/>
    </row>
    <row r="11" spans="1:35" x14ac:dyDescent="0.2">
      <c r="A11" s="7">
        <f>SUM(D10:AH10)</f>
        <v>752.05</v>
      </c>
      <c r="B11" s="8">
        <f>SUM(D11:AH11)</f>
        <v>586.14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>
        <f>233.54+117.82+94.78</f>
        <v>446.14</v>
      </c>
      <c r="S11" s="10"/>
      <c r="T11" s="10"/>
      <c r="U11" s="10"/>
      <c r="V11" s="11"/>
      <c r="W11" s="10"/>
      <c r="X11" s="10"/>
      <c r="Y11" s="10">
        <v>140</v>
      </c>
      <c r="Z11" s="10"/>
      <c r="AA11" s="10"/>
      <c r="AB11" s="10"/>
      <c r="AC11" s="10"/>
      <c r="AD11" s="10"/>
      <c r="AE11" s="10"/>
      <c r="AF11" s="11"/>
      <c r="AG11" s="10"/>
      <c r="AH11" s="10"/>
      <c r="AI11" s="12"/>
    </row>
    <row r="12" spans="1:35" x14ac:dyDescent="0.2">
      <c r="A12" s="1" t="s">
        <v>7</v>
      </c>
      <c r="B12" s="6">
        <f t="array" ref="B12">SUM(D12:AH12-D13:AH13)</f>
        <v>512.49999999999989</v>
      </c>
      <c r="C12" s="3" t="s">
        <v>2</v>
      </c>
      <c r="D12" s="4"/>
      <c r="E12" s="4">
        <v>12.9</v>
      </c>
      <c r="F12" s="4"/>
      <c r="G12" s="4">
        <v>28.4</v>
      </c>
      <c r="H12" s="4">
        <v>64.3</v>
      </c>
      <c r="I12" s="4"/>
      <c r="J12" s="4">
        <v>36.6</v>
      </c>
      <c r="K12" s="4">
        <v>16.600000000000001</v>
      </c>
      <c r="L12" s="4">
        <v>25.05</v>
      </c>
      <c r="M12" s="4"/>
      <c r="N12" s="4"/>
      <c r="O12" s="4">
        <v>14.5</v>
      </c>
      <c r="P12" s="4">
        <v>24.8</v>
      </c>
      <c r="Q12" s="4">
        <v>14.3</v>
      </c>
      <c r="R12" s="4">
        <v>19.100000000000001</v>
      </c>
      <c r="S12" s="4">
        <v>13.5</v>
      </c>
      <c r="T12" s="4"/>
      <c r="U12" s="4"/>
      <c r="V12" s="4">
        <v>21.5</v>
      </c>
      <c r="W12" s="4">
        <v>20</v>
      </c>
      <c r="X12" s="4">
        <v>59.65</v>
      </c>
      <c r="Y12" s="4">
        <v>12</v>
      </c>
      <c r="Z12" s="4">
        <v>18.899999999999999</v>
      </c>
      <c r="AA12" s="4"/>
      <c r="AB12" s="4">
        <v>12.4</v>
      </c>
      <c r="AC12" s="4">
        <v>15</v>
      </c>
      <c r="AD12" s="4">
        <v>48.4</v>
      </c>
      <c r="AE12" s="4">
        <v>10</v>
      </c>
      <c r="AF12" s="4">
        <v>12.2</v>
      </c>
      <c r="AG12" s="4">
        <v>12.4</v>
      </c>
      <c r="AH12" s="4"/>
      <c r="AI12" s="5"/>
    </row>
    <row r="13" spans="1:35" x14ac:dyDescent="0.2">
      <c r="A13" s="7">
        <f>SUM(D12:AH12)</f>
        <v>512.49999999999989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  <c r="AI13" s="12"/>
    </row>
    <row r="14" spans="1:35" x14ac:dyDescent="0.2">
      <c r="A14" s="1" t="s">
        <v>8</v>
      </c>
      <c r="B14" s="6">
        <f t="array" ref="B14">SUM(D14:AH14-D15:AH15)</f>
        <v>-137.72000000000006</v>
      </c>
      <c r="C14" s="3" t="s">
        <v>2</v>
      </c>
      <c r="D14" s="4"/>
      <c r="E14" s="4"/>
      <c r="F14" s="4">
        <v>42</v>
      </c>
      <c r="G14" s="4">
        <v>12.8</v>
      </c>
      <c r="H14" s="4">
        <v>45.25</v>
      </c>
      <c r="I14" s="4">
        <v>34.9</v>
      </c>
      <c r="J14" s="4"/>
      <c r="K14" s="4">
        <v>28</v>
      </c>
      <c r="L14" s="4">
        <v>10</v>
      </c>
      <c r="M14" s="4">
        <v>29.05</v>
      </c>
      <c r="N14" s="4">
        <v>13.3</v>
      </c>
      <c r="O14" s="4">
        <v>12.3</v>
      </c>
      <c r="P14" s="4">
        <v>55.2</v>
      </c>
      <c r="Q14" s="4"/>
      <c r="R14" s="4">
        <v>12</v>
      </c>
      <c r="S14" s="4"/>
      <c r="T14" s="4">
        <v>12.5</v>
      </c>
      <c r="U14" s="4">
        <v>11.4</v>
      </c>
      <c r="V14" s="4">
        <v>12.5</v>
      </c>
      <c r="W14" s="4"/>
      <c r="X14" s="4"/>
      <c r="Y14" s="4">
        <v>10</v>
      </c>
      <c r="Z14" s="4"/>
      <c r="AA14" s="4">
        <v>12.7</v>
      </c>
      <c r="AB14" s="4"/>
      <c r="AC14" s="4">
        <v>22.35</v>
      </c>
      <c r="AD14" s="4">
        <v>26.3</v>
      </c>
      <c r="AE14" s="4"/>
      <c r="AF14" s="4">
        <v>15</v>
      </c>
      <c r="AG14" s="4">
        <v>17.600000000000001</v>
      </c>
      <c r="AH14" s="4"/>
      <c r="AI14" s="5"/>
    </row>
    <row r="15" spans="1:35" x14ac:dyDescent="0.2">
      <c r="A15" s="7">
        <f>SUM(D14:AH14)</f>
        <v>435.15000000000003</v>
      </c>
      <c r="B15" s="8">
        <f>SUM(D15:AH15)</f>
        <v>572.87</v>
      </c>
      <c r="C15" s="9" t="s">
        <v>3</v>
      </c>
      <c r="D15" s="10"/>
      <c r="E15" s="10"/>
      <c r="F15" s="10"/>
      <c r="G15" s="10">
        <f>269.46+187.33+116.08</f>
        <v>572.87</v>
      </c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2"/>
    </row>
    <row r="16" spans="1:35" x14ac:dyDescent="0.2">
      <c r="A16" s="1" t="s">
        <v>9</v>
      </c>
      <c r="B16" s="6">
        <f t="array" ref="B16">SUM(D16:AH16-D17:AH17)</f>
        <v>1.3499999999999446</v>
      </c>
      <c r="C16" s="3" t="s">
        <v>2</v>
      </c>
      <c r="D16" s="4">
        <v>17.5</v>
      </c>
      <c r="E16" s="4"/>
      <c r="F16" s="4">
        <v>24.4</v>
      </c>
      <c r="G16" s="4">
        <v>14.5</v>
      </c>
      <c r="H16" s="4"/>
      <c r="I16" s="4"/>
      <c r="J16" s="4">
        <v>12.5</v>
      </c>
      <c r="K16" s="4">
        <v>10.9</v>
      </c>
      <c r="L16" s="4">
        <v>11.35</v>
      </c>
      <c r="M16" s="4">
        <v>12.5</v>
      </c>
      <c r="N16" s="4">
        <v>15</v>
      </c>
      <c r="O16" s="4"/>
      <c r="P16" s="4">
        <v>14.6</v>
      </c>
      <c r="Q16" s="4">
        <v>26.2</v>
      </c>
      <c r="R16" s="4"/>
      <c r="S16" s="4">
        <v>20</v>
      </c>
      <c r="T16" s="4"/>
      <c r="U16" s="4"/>
      <c r="V16" s="4"/>
      <c r="W16" s="4"/>
      <c r="X16" s="4">
        <v>28</v>
      </c>
      <c r="Y16" s="4">
        <v>10.5</v>
      </c>
      <c r="Z16" s="4">
        <v>15</v>
      </c>
      <c r="AA16" s="4">
        <v>13.5</v>
      </c>
      <c r="AB16" s="4">
        <v>39.9</v>
      </c>
      <c r="AC16" s="4"/>
      <c r="AD16" s="4">
        <v>24.2</v>
      </c>
      <c r="AE16" s="4">
        <v>17.2</v>
      </c>
      <c r="AF16" s="4"/>
      <c r="AG16" s="4">
        <v>18.2</v>
      </c>
      <c r="AH16" s="4">
        <v>12</v>
      </c>
      <c r="AI16" s="5"/>
    </row>
    <row r="17" spans="1:35" x14ac:dyDescent="0.2">
      <c r="A17" s="7">
        <f>SUM(D16:AH16)</f>
        <v>357.94999999999993</v>
      </c>
      <c r="B17" s="8">
        <f>SUM(D17:AH17)</f>
        <v>356.6</v>
      </c>
      <c r="C17" s="9" t="s">
        <v>3</v>
      </c>
      <c r="D17" s="10"/>
      <c r="E17" s="10">
        <f>153.86+91.03+111.71</f>
        <v>356.6</v>
      </c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2"/>
    </row>
    <row r="18" spans="1:35" x14ac:dyDescent="0.2">
      <c r="A18" s="1" t="s">
        <v>10</v>
      </c>
      <c r="B18" s="6">
        <f t="array" ref="B18">SUM(D18:AH18-D19:AH19)</f>
        <v>58.8</v>
      </c>
      <c r="C18" s="3" t="s">
        <v>2</v>
      </c>
      <c r="D18" s="4">
        <v>16</v>
      </c>
      <c r="E18" s="4"/>
      <c r="F18" s="4"/>
      <c r="G18" s="4">
        <v>12.5</v>
      </c>
      <c r="H18" s="4"/>
      <c r="I18" s="4">
        <v>30.3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5"/>
    </row>
    <row r="19" spans="1:35" x14ac:dyDescent="0.2">
      <c r="A19" s="7">
        <f>SUM(D18:AH18)</f>
        <v>58.8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2"/>
    </row>
    <row r="20" spans="1:35" x14ac:dyDescent="0.2">
      <c r="A20" s="1" t="s">
        <v>11</v>
      </c>
      <c r="B20" s="6">
        <f t="array" ref="B20">SUM(D20:AH20-D21:AH21)</f>
        <v>61.069999999999986</v>
      </c>
      <c r="C20" s="3" t="s">
        <v>2</v>
      </c>
      <c r="D20" s="4">
        <v>10.1</v>
      </c>
      <c r="E20" s="4">
        <v>12.7</v>
      </c>
      <c r="G20" s="4">
        <v>11.7</v>
      </c>
      <c r="H20" s="4"/>
      <c r="I20" s="4"/>
      <c r="J20" s="4"/>
      <c r="K20" s="4">
        <v>16.7</v>
      </c>
      <c r="L20" s="4">
        <v>26.4</v>
      </c>
      <c r="M20" s="4">
        <v>48.5</v>
      </c>
      <c r="N20" s="4"/>
      <c r="O20" s="4">
        <v>13.6</v>
      </c>
      <c r="P20" s="4"/>
      <c r="Q20" s="4"/>
      <c r="R20" s="4"/>
      <c r="S20" s="4">
        <v>11.8</v>
      </c>
      <c r="T20" s="4">
        <v>57.05</v>
      </c>
      <c r="U20" s="4"/>
      <c r="V20" s="4"/>
      <c r="W20" s="4"/>
      <c r="X20" s="4">
        <v>19.899999999999999</v>
      </c>
      <c r="Y20" s="4">
        <v>45.9</v>
      </c>
      <c r="Z20" s="4">
        <v>70.599999999999994</v>
      </c>
      <c r="AA20" s="4">
        <v>19.899999999999999</v>
      </c>
      <c r="AB20" s="4"/>
      <c r="AC20" s="4">
        <v>72.8</v>
      </c>
      <c r="AD20" s="4"/>
      <c r="AE20" s="4">
        <v>16.100000000000001</v>
      </c>
      <c r="AF20" s="4">
        <v>28.6</v>
      </c>
      <c r="AG20" s="4">
        <v>26.4</v>
      </c>
      <c r="AH20" s="4"/>
      <c r="AI20" s="5"/>
    </row>
    <row r="21" spans="1:35" x14ac:dyDescent="0.2">
      <c r="A21" s="7">
        <f>SUM(D20:AH20)</f>
        <v>508.75000000000006</v>
      </c>
      <c r="B21" s="8">
        <f>SUM(D21:AH21)</f>
        <v>447.68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>
        <f>209.11+238.57</f>
        <v>447.68</v>
      </c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2"/>
    </row>
    <row r="22" spans="1:35" x14ac:dyDescent="0.2">
      <c r="A22" s="1" t="s">
        <v>12</v>
      </c>
      <c r="B22" s="6">
        <f t="array" ref="B22">SUM(D22:AH22-D23:AH23)</f>
        <v>-125.29999999999986</v>
      </c>
      <c r="C22" s="3" t="s">
        <v>2</v>
      </c>
      <c r="D22" s="4">
        <v>10.5</v>
      </c>
      <c r="E22" s="4">
        <v>12.4</v>
      </c>
      <c r="F22" s="4"/>
      <c r="G22" s="4"/>
      <c r="H22" s="4">
        <v>12.2</v>
      </c>
      <c r="I22" s="4">
        <v>20.7</v>
      </c>
      <c r="J22" s="4">
        <v>15</v>
      </c>
      <c r="K22" s="4">
        <v>11.8</v>
      </c>
      <c r="L22" s="4"/>
      <c r="M22" s="4">
        <v>26.5</v>
      </c>
      <c r="N22" s="4"/>
      <c r="P22" s="4">
        <v>20.6</v>
      </c>
      <c r="Q22" s="4">
        <v>10</v>
      </c>
      <c r="R22" s="4">
        <v>34.299999999999997</v>
      </c>
      <c r="S22" s="4">
        <v>33.299999999999997</v>
      </c>
      <c r="T22" s="4">
        <v>41.65</v>
      </c>
      <c r="U22" s="4"/>
      <c r="V22" s="4">
        <v>13</v>
      </c>
      <c r="W22" s="4">
        <v>14.1</v>
      </c>
      <c r="X22" s="4">
        <v>34.9</v>
      </c>
      <c r="Y22" s="4">
        <v>41.4</v>
      </c>
      <c r="Z22" s="4">
        <v>21.1</v>
      </c>
      <c r="AA22" s="4">
        <v>13.35</v>
      </c>
      <c r="AB22" s="4"/>
      <c r="AC22" s="4"/>
      <c r="AD22" s="4">
        <v>41</v>
      </c>
      <c r="AE22" s="4">
        <v>121.4</v>
      </c>
      <c r="AF22" s="4">
        <v>11.3</v>
      </c>
      <c r="AG22" s="4">
        <v>15.8</v>
      </c>
      <c r="AH22" s="4">
        <v>33.200000000000003</v>
      </c>
      <c r="AI22" s="5"/>
    </row>
    <row r="23" spans="1:35" x14ac:dyDescent="0.2">
      <c r="A23" s="7">
        <f>SUM(D22:AH22)</f>
        <v>609.5</v>
      </c>
      <c r="B23" s="8">
        <f>SUM(D23:AH23)</f>
        <v>734.8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24">
        <v>734.8</v>
      </c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2"/>
    </row>
    <row r="24" spans="1:35" x14ac:dyDescent="0.2">
      <c r="A24" s="1" t="s">
        <v>13</v>
      </c>
      <c r="B24" s="6">
        <f t="array" ref="B24">SUM(D24:AH24-D25:AH25)</f>
        <v>73.370000000000033</v>
      </c>
      <c r="C24" s="3" t="s">
        <v>2</v>
      </c>
      <c r="D24" s="4"/>
      <c r="E24" s="4"/>
      <c r="F24" s="4">
        <v>17.7</v>
      </c>
      <c r="G24" s="4">
        <v>42.5</v>
      </c>
      <c r="H24" s="4">
        <v>12.7</v>
      </c>
      <c r="I24" s="4">
        <v>46.9</v>
      </c>
      <c r="J24" s="4">
        <v>11.7</v>
      </c>
      <c r="K24" s="4"/>
      <c r="L24" s="4"/>
      <c r="M24" s="4">
        <v>12.1</v>
      </c>
      <c r="N24" s="4">
        <v>39.4</v>
      </c>
      <c r="O24" s="4"/>
      <c r="P24" s="4">
        <v>12.8</v>
      </c>
      <c r="Q24" s="4">
        <v>90.4</v>
      </c>
      <c r="R24" s="4"/>
      <c r="S24" s="4"/>
      <c r="T24" s="4">
        <v>14.85</v>
      </c>
      <c r="U24" s="4">
        <v>16.3</v>
      </c>
      <c r="V24" s="4">
        <v>46.65</v>
      </c>
      <c r="W24" s="4">
        <v>13.4</v>
      </c>
      <c r="X24" s="4">
        <v>11.5</v>
      </c>
      <c r="Y24" s="4"/>
      <c r="Z24" s="4"/>
      <c r="AA24" s="4">
        <v>30.7</v>
      </c>
      <c r="AB24" s="4">
        <v>14.1</v>
      </c>
      <c r="AC24" s="4"/>
      <c r="AD24" s="4">
        <v>17.2</v>
      </c>
      <c r="AE24" s="4">
        <v>38.4</v>
      </c>
      <c r="AF24" s="4"/>
      <c r="AG24" s="4"/>
      <c r="AH24" s="4"/>
      <c r="AI24" s="5"/>
    </row>
    <row r="25" spans="1:35" x14ac:dyDescent="0.2">
      <c r="A25" s="7">
        <f>SUM(D24:AH24)</f>
        <v>489.3</v>
      </c>
      <c r="B25" s="8">
        <f>SUM(D25:AH25)</f>
        <v>415.92999999999995</v>
      </c>
      <c r="C25" s="9" t="s">
        <v>3</v>
      </c>
      <c r="D25" s="10"/>
      <c r="E25" s="10"/>
      <c r="F25" s="10"/>
      <c r="G25" s="10"/>
      <c r="H25" s="10"/>
      <c r="I25" s="10">
        <f>244.64+171.29</f>
        <v>415.92999999999995</v>
      </c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2"/>
    </row>
    <row r="26" spans="1:35" x14ac:dyDescent="0.2">
      <c r="A26" s="1" t="s">
        <v>14</v>
      </c>
      <c r="B26" s="6">
        <f t="array" ref="B26">SUM(D26:AH26-D27:AH27)</f>
        <v>292.16999999999996</v>
      </c>
      <c r="C26" s="3" t="s">
        <v>2</v>
      </c>
      <c r="D26" s="4"/>
      <c r="E26" s="4">
        <v>14.9</v>
      </c>
      <c r="F26" s="4">
        <v>14.1</v>
      </c>
      <c r="G26" s="4">
        <v>12</v>
      </c>
      <c r="H26" s="4">
        <v>11.4</v>
      </c>
      <c r="I26" s="4"/>
      <c r="J26" s="4"/>
      <c r="K26" s="4"/>
      <c r="L26" s="4">
        <v>48.5</v>
      </c>
      <c r="M26" s="4">
        <v>92</v>
      </c>
      <c r="N26" s="4">
        <v>10</v>
      </c>
      <c r="O26" s="4">
        <v>48</v>
      </c>
      <c r="P26" s="4"/>
      <c r="Q26" s="4">
        <v>12.8</v>
      </c>
      <c r="R26" s="4"/>
      <c r="S26" s="4">
        <v>9.1999999999999993</v>
      </c>
      <c r="T26" s="4">
        <v>21.54</v>
      </c>
      <c r="U26" s="4">
        <v>20.6</v>
      </c>
      <c r="V26" s="4">
        <v>96.6</v>
      </c>
      <c r="W26" s="4"/>
      <c r="X26" s="4"/>
      <c r="Y26" s="4">
        <v>24.5</v>
      </c>
      <c r="Z26" s="4">
        <v>20.5</v>
      </c>
      <c r="AA26" s="4">
        <v>196.8</v>
      </c>
      <c r="AB26" s="4"/>
      <c r="AC26" s="4"/>
      <c r="AD26" s="4"/>
      <c r="AE26" s="4">
        <v>30</v>
      </c>
      <c r="AF26" s="4">
        <v>19.600000000000001</v>
      </c>
      <c r="AG26" s="4"/>
      <c r="AH26" s="4">
        <v>22.6</v>
      </c>
      <c r="AI26" s="5"/>
    </row>
    <row r="27" spans="1:35" x14ac:dyDescent="0.2">
      <c r="A27" s="7">
        <f>SUM(D26:AH26)</f>
        <v>725.6400000000001</v>
      </c>
      <c r="B27" s="8">
        <f>SUM(D27:AH27)</f>
        <v>433.47</v>
      </c>
      <c r="C27" s="9" t="s">
        <v>3</v>
      </c>
      <c r="D27" s="10"/>
      <c r="E27" s="10"/>
      <c r="F27" s="10"/>
      <c r="G27" s="10"/>
      <c r="H27" s="12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21">
        <f>211.81+221.66</f>
        <v>433.47</v>
      </c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2"/>
    </row>
    <row r="28" spans="1:35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3"/>
    </row>
    <row r="29" spans="1:35" x14ac:dyDescent="0.2">
      <c r="A29" s="1" t="s">
        <v>15</v>
      </c>
      <c r="B29" s="17">
        <f>SUMPRODUCT((D4:AH4)+(D6:AH6)+(D8:AH8)+(D10:AH10)+(D12:AH12)+(D14:AH14)+(D16:AH16)+(D18:AH18)+(D20:AH20)+(D22:AH22)+(D24:AH24)+(D26:AH26))</f>
        <v>6135.9900000000007</v>
      </c>
      <c r="C29" s="3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5"/>
    </row>
    <row r="30" spans="1:35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4433.07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5"/>
    </row>
    <row r="31" spans="1:35" x14ac:dyDescent="0.2">
      <c r="A31" s="1" t="s">
        <v>17</v>
      </c>
      <c r="B31" s="6">
        <f>B29-B30</f>
        <v>1702.920000000001</v>
      </c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5"/>
    </row>
    <row r="32" spans="1:35" x14ac:dyDescent="0.2">
      <c r="A32" s="1"/>
      <c r="B32" s="2"/>
      <c r="C32" s="3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5"/>
    </row>
    <row r="33" spans="1:34" s="25" customFormat="1" x14ac:dyDescent="0.2">
      <c r="A33" s="27" t="s">
        <v>22</v>
      </c>
      <c r="B33" s="28"/>
      <c r="C33" s="28"/>
      <c r="D33" s="28"/>
      <c r="E33" s="28"/>
      <c r="F33" s="28"/>
      <c r="G33" s="28"/>
      <c r="H33" s="28"/>
      <c r="I33" s="28"/>
      <c r="J33" s="28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</row>
  </sheetData>
  <mergeCells count="1">
    <mergeCell ref="A33:AH33"/>
  </mergeCells>
  <conditionalFormatting sqref="B31">
    <cfRule type="cellIs" dxfId="35" priority="1" stopIfTrue="1" operator="lessThanOrEqual">
      <formula>0</formula>
    </cfRule>
    <cfRule type="cellIs" dxfId="34" priority="2" stopIfTrue="1" operator="greaterThanOrEqual">
      <formula>0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"/>
  <sheetViews>
    <sheetView topLeftCell="L4" workbookViewId="0">
      <selection activeCell="AI26" sqref="AI26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4" width="6.5703125" bestFit="1" customWidth="1"/>
    <col min="5" max="5" width="5.5703125" bestFit="1" customWidth="1"/>
    <col min="6" max="19" width="6.5703125" bestFit="1" customWidth="1"/>
    <col min="20" max="21" width="5.5703125" bestFit="1" customWidth="1"/>
    <col min="22" max="27" width="6.5703125" bestFit="1" customWidth="1"/>
    <col min="28" max="28" width="5.5703125" bestFit="1" customWidth="1"/>
    <col min="29" max="30" width="6.5703125" bestFit="1" customWidth="1"/>
    <col min="31" max="31" width="5.5703125" bestFit="1" customWidth="1"/>
    <col min="32" max="32" width="6.5703125" bestFit="1" customWidth="1"/>
    <col min="33" max="34" width="5.5703125" bestFit="1" customWidth="1"/>
  </cols>
  <sheetData>
    <row r="1" spans="1:35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5"/>
    </row>
    <row r="2" spans="1:35" x14ac:dyDescent="0.2">
      <c r="A2" s="1">
        <v>2010</v>
      </c>
      <c r="B2" s="1" t="s">
        <v>0</v>
      </c>
      <c r="C2" s="1"/>
      <c r="D2" s="1">
        <v>1</v>
      </c>
      <c r="E2" s="1">
        <f t="shared" ref="E2:AH2" si="0">D2+1</f>
        <v>2</v>
      </c>
      <c r="F2" s="1">
        <f t="shared" si="0"/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  <c r="AI2" s="1"/>
    </row>
    <row r="3" spans="1:35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5"/>
    </row>
    <row r="4" spans="1:35" x14ac:dyDescent="0.2">
      <c r="A4" s="1" t="s">
        <v>1</v>
      </c>
      <c r="B4" s="6">
        <f t="array" ref="B4">SUM(D4:AH4-D5:AH5)</f>
        <v>184.26</v>
      </c>
      <c r="C4" s="3" t="s">
        <v>2</v>
      </c>
      <c r="D4" s="4"/>
      <c r="E4" s="4">
        <v>70.8</v>
      </c>
      <c r="F4" s="4"/>
      <c r="G4" s="4"/>
      <c r="H4" s="4">
        <v>13.1</v>
      </c>
      <c r="I4" s="4"/>
      <c r="J4" s="4">
        <v>25.4</v>
      </c>
      <c r="K4" s="4">
        <v>51.4</v>
      </c>
      <c r="L4" s="4">
        <v>10.1</v>
      </c>
      <c r="M4" s="4"/>
      <c r="N4" s="4">
        <v>29.3</v>
      </c>
      <c r="O4" s="4">
        <v>20</v>
      </c>
      <c r="P4" s="4"/>
      <c r="Q4" s="4">
        <v>15</v>
      </c>
      <c r="R4" s="4"/>
      <c r="S4" s="4">
        <v>13</v>
      </c>
      <c r="T4" s="4"/>
      <c r="U4" s="4"/>
      <c r="V4" s="4">
        <v>13</v>
      </c>
      <c r="W4" s="4"/>
      <c r="X4" s="4">
        <v>17</v>
      </c>
      <c r="Y4" s="4">
        <v>18.399999999999999</v>
      </c>
      <c r="Z4" s="4">
        <v>18.399999999999999</v>
      </c>
      <c r="AA4" s="4"/>
      <c r="AB4" s="4"/>
      <c r="AC4" s="4">
        <v>23.7</v>
      </c>
      <c r="AD4" s="4">
        <v>11.5</v>
      </c>
      <c r="AE4" s="4"/>
      <c r="AF4" s="4">
        <v>12</v>
      </c>
      <c r="AG4" s="4">
        <v>14.5</v>
      </c>
      <c r="AH4" s="4"/>
      <c r="AI4" s="5"/>
    </row>
    <row r="5" spans="1:35" x14ac:dyDescent="0.2">
      <c r="A5" s="7">
        <f>SUM(D4:AH4)</f>
        <v>376.59999999999997</v>
      </c>
      <c r="B5" s="8">
        <f>SUM(D5:AH5)</f>
        <v>192.34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>
        <v>192.34</v>
      </c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2"/>
    </row>
    <row r="6" spans="1:35" x14ac:dyDescent="0.2">
      <c r="A6" s="1" t="s">
        <v>4</v>
      </c>
      <c r="B6" s="6">
        <f t="array" ref="B6">SUM(D6:AH6-D7:AH7)</f>
        <v>367.8</v>
      </c>
      <c r="C6" s="3" t="s">
        <v>2</v>
      </c>
      <c r="D6" s="4">
        <v>14</v>
      </c>
      <c r="E6" s="4">
        <v>12.7</v>
      </c>
      <c r="F6" s="4">
        <v>28.4</v>
      </c>
      <c r="G6" s="4">
        <v>24</v>
      </c>
      <c r="H6" s="4"/>
      <c r="I6" s="4">
        <v>21.3</v>
      </c>
      <c r="J6" s="4"/>
      <c r="K6" s="4">
        <v>49</v>
      </c>
      <c r="L6" s="4">
        <v>31.8</v>
      </c>
      <c r="M6" s="4">
        <v>24</v>
      </c>
      <c r="N6" s="4">
        <v>13.5</v>
      </c>
      <c r="O6" s="4">
        <v>13.9</v>
      </c>
      <c r="P6" s="4">
        <v>18.600000000000001</v>
      </c>
      <c r="Q6" s="4"/>
      <c r="R6" s="4">
        <v>17</v>
      </c>
      <c r="S6" s="4">
        <v>27.5</v>
      </c>
      <c r="T6" s="4">
        <v>13.4</v>
      </c>
      <c r="U6" s="4">
        <v>50.6</v>
      </c>
      <c r="V6" s="4">
        <v>13.3</v>
      </c>
      <c r="W6" s="4">
        <v>27.2</v>
      </c>
      <c r="X6" s="4"/>
      <c r="Y6" s="4">
        <v>12</v>
      </c>
      <c r="Z6" s="4">
        <v>12.3</v>
      </c>
      <c r="AA6" s="4">
        <v>46</v>
      </c>
      <c r="AB6" s="4"/>
      <c r="AC6" s="4">
        <v>30</v>
      </c>
      <c r="AD6" s="4">
        <v>35.299999999999997</v>
      </c>
      <c r="AE6" s="4"/>
      <c r="AF6" s="4"/>
      <c r="AG6" s="4"/>
      <c r="AH6" s="4"/>
      <c r="AI6" s="5"/>
    </row>
    <row r="7" spans="1:35" x14ac:dyDescent="0.2">
      <c r="A7" s="7">
        <f>SUM(D6:AH6)</f>
        <v>535.79999999999995</v>
      </c>
      <c r="B7" s="8">
        <f>SUM(D7:AH7)</f>
        <v>168</v>
      </c>
      <c r="C7" s="9" t="s">
        <v>3</v>
      </c>
      <c r="D7" s="10"/>
      <c r="E7" s="10"/>
      <c r="F7" s="10"/>
      <c r="G7" s="10">
        <v>168</v>
      </c>
      <c r="H7" s="13"/>
      <c r="I7" s="10"/>
      <c r="J7" s="10"/>
      <c r="K7" s="10"/>
      <c r="L7" s="10"/>
      <c r="M7" s="10"/>
      <c r="N7" s="10"/>
      <c r="O7" s="10"/>
      <c r="P7" s="10"/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2"/>
    </row>
    <row r="8" spans="1:35" x14ac:dyDescent="0.2">
      <c r="A8" s="1" t="s">
        <v>5</v>
      </c>
      <c r="B8" s="6">
        <f t="array" ref="B8">SUM(D8:AH8-D9:AH9)</f>
        <v>485.69999999999993</v>
      </c>
      <c r="C8" s="3" t="s">
        <v>2</v>
      </c>
      <c r="D8" s="4"/>
      <c r="E8" s="4">
        <v>12</v>
      </c>
      <c r="F8" s="4">
        <v>14</v>
      </c>
      <c r="G8" s="4">
        <v>25.45</v>
      </c>
      <c r="H8" s="4"/>
      <c r="I8" s="4">
        <v>18.7</v>
      </c>
      <c r="J8" s="4"/>
      <c r="K8" s="4"/>
      <c r="L8" s="4">
        <v>19</v>
      </c>
      <c r="M8" s="4">
        <v>31.9</v>
      </c>
      <c r="N8" s="4">
        <v>10.199999999999999</v>
      </c>
      <c r="O8" s="4">
        <v>26.6</v>
      </c>
      <c r="P8" s="4">
        <v>77.599999999999994</v>
      </c>
      <c r="Q8" s="4"/>
      <c r="R8" s="4">
        <v>11.2</v>
      </c>
      <c r="S8" s="4">
        <v>11.6</v>
      </c>
      <c r="T8" s="4">
        <v>23.65</v>
      </c>
      <c r="U8" s="4">
        <v>26.8</v>
      </c>
      <c r="V8" s="4">
        <v>53.7</v>
      </c>
      <c r="W8" s="4">
        <v>23.95</v>
      </c>
      <c r="X8" s="4"/>
      <c r="Y8" s="4"/>
      <c r="Z8" s="4">
        <v>12.6</v>
      </c>
      <c r="AA8" s="4">
        <v>12.9</v>
      </c>
      <c r="AB8" s="4"/>
      <c r="AC8" s="4">
        <v>21.4</v>
      </c>
      <c r="AD8" s="4">
        <v>36</v>
      </c>
      <c r="AE8" s="4"/>
      <c r="AF8" s="4"/>
      <c r="AG8" s="4"/>
      <c r="AH8" s="4">
        <v>16.45</v>
      </c>
      <c r="AI8" s="5"/>
    </row>
    <row r="9" spans="1:35" x14ac:dyDescent="0.2">
      <c r="A9" s="7">
        <f>SUM(D8:AH8)</f>
        <v>485.69999999999993</v>
      </c>
      <c r="B9" s="8">
        <f>SUM(D9:AH9)</f>
        <v>0</v>
      </c>
      <c r="C9" s="9" t="s">
        <v>3</v>
      </c>
      <c r="D9" s="10"/>
      <c r="E9" s="10"/>
      <c r="F9" s="10"/>
      <c r="G9" s="10"/>
      <c r="H9" s="10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2"/>
    </row>
    <row r="10" spans="1:35" x14ac:dyDescent="0.2">
      <c r="A10" s="1" t="s">
        <v>6</v>
      </c>
      <c r="B10" s="6">
        <f t="array" ref="B10">SUM(D10:AH10-D11:AH11)</f>
        <v>-34.090000000000082</v>
      </c>
      <c r="C10" s="3" t="s">
        <v>2</v>
      </c>
      <c r="D10" s="4">
        <v>23.4</v>
      </c>
      <c r="E10" s="4">
        <v>47.9</v>
      </c>
      <c r="F10" s="4">
        <v>11</v>
      </c>
      <c r="G10" s="4"/>
      <c r="H10" s="4"/>
      <c r="I10" s="4">
        <v>15.15</v>
      </c>
      <c r="J10" s="4">
        <v>37.299999999999997</v>
      </c>
      <c r="K10" s="4"/>
      <c r="L10" s="4">
        <v>11</v>
      </c>
      <c r="M10" s="4"/>
      <c r="N10" s="4"/>
      <c r="O10" s="4">
        <v>12</v>
      </c>
      <c r="Q10" s="4">
        <v>15.4</v>
      </c>
      <c r="R10" s="4">
        <v>36.700000000000003</v>
      </c>
      <c r="S10" s="4">
        <v>15.5</v>
      </c>
      <c r="T10" s="4">
        <v>26.15</v>
      </c>
      <c r="U10" s="4"/>
      <c r="V10" s="4"/>
      <c r="W10" s="4">
        <v>28.9</v>
      </c>
      <c r="X10" s="4">
        <v>18.7</v>
      </c>
      <c r="Y10" s="4">
        <v>42</v>
      </c>
      <c r="Z10" s="4">
        <v>17.2</v>
      </c>
      <c r="AA10" s="4">
        <v>26.6</v>
      </c>
      <c r="AB10" s="4"/>
      <c r="AC10" s="4"/>
      <c r="AD10" s="4">
        <v>60.2</v>
      </c>
      <c r="AE10" s="4">
        <v>10.7</v>
      </c>
      <c r="AF10" s="4">
        <v>11.2</v>
      </c>
      <c r="AG10" s="4">
        <v>11.15</v>
      </c>
      <c r="AH10" s="4"/>
      <c r="AI10" s="5"/>
    </row>
    <row r="11" spans="1:35" x14ac:dyDescent="0.2">
      <c r="A11" s="7">
        <f>SUM(D10:AH10)</f>
        <v>478.15</v>
      </c>
      <c r="B11" s="8">
        <f>SUM(D11:AH11)</f>
        <v>512.24</v>
      </c>
      <c r="C11" s="9" t="s">
        <v>3</v>
      </c>
      <c r="D11" s="11"/>
      <c r="E11" s="10"/>
      <c r="F11" s="10"/>
      <c r="G11" s="10"/>
      <c r="H11" s="10"/>
      <c r="I11" s="10">
        <v>134</v>
      </c>
      <c r="J11" s="10"/>
      <c r="K11" s="10">
        <f>177.98+134.26+66</f>
        <v>378.24</v>
      </c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  <c r="AI11" s="12"/>
    </row>
    <row r="12" spans="1:35" x14ac:dyDescent="0.2">
      <c r="A12" s="1" t="s">
        <v>7</v>
      </c>
      <c r="B12" s="6">
        <f t="array" ref="B12">SUM(D12:AH12-D13:AH13)</f>
        <v>96.83</v>
      </c>
      <c r="C12" s="3" t="s">
        <v>2</v>
      </c>
      <c r="D12" s="4"/>
      <c r="E12" s="4"/>
      <c r="F12" s="4"/>
      <c r="G12" s="4">
        <v>12</v>
      </c>
      <c r="H12" s="4">
        <v>11.1</v>
      </c>
      <c r="I12" s="4">
        <v>30.8</v>
      </c>
      <c r="J12" s="4">
        <v>13.3</v>
      </c>
      <c r="K12" s="4">
        <v>64.7</v>
      </c>
      <c r="L12" s="4"/>
      <c r="M12" s="4">
        <v>8.3000000000000007</v>
      </c>
      <c r="N12" s="4">
        <v>18.3</v>
      </c>
      <c r="O12" s="4">
        <v>113.3</v>
      </c>
      <c r="P12" s="4">
        <v>11.8</v>
      </c>
      <c r="Q12" s="4">
        <v>9.8000000000000007</v>
      </c>
      <c r="R12" s="4"/>
      <c r="S12" s="4"/>
      <c r="T12" s="4">
        <v>12</v>
      </c>
      <c r="U12" s="4">
        <v>10.25</v>
      </c>
      <c r="V12" s="4">
        <v>11.9</v>
      </c>
      <c r="W12" s="4">
        <v>12.2</v>
      </c>
      <c r="X12" s="4">
        <v>25</v>
      </c>
      <c r="Y12" s="4">
        <v>14.9</v>
      </c>
      <c r="Z12" s="4"/>
      <c r="AA12" s="4">
        <v>17.350000000000001</v>
      </c>
      <c r="AB12" s="4">
        <v>13.7</v>
      </c>
      <c r="AC12" s="4">
        <v>14.8</v>
      </c>
      <c r="AD12" s="4">
        <v>12</v>
      </c>
      <c r="AE12" s="4">
        <v>8.4</v>
      </c>
      <c r="AF12" s="4">
        <v>8.5</v>
      </c>
      <c r="AG12" s="4"/>
      <c r="AH12" s="4"/>
      <c r="AI12" s="5"/>
    </row>
    <row r="13" spans="1:35" x14ac:dyDescent="0.2">
      <c r="A13" s="7">
        <f>SUM(D12:AH12)</f>
        <v>454.4</v>
      </c>
      <c r="B13" s="8">
        <f>SUM(D13:AH13)</f>
        <v>357.57</v>
      </c>
      <c r="C13" s="9" t="s">
        <v>3</v>
      </c>
      <c r="D13" s="10"/>
      <c r="E13" s="10"/>
      <c r="F13" s="10"/>
      <c r="G13" s="10"/>
      <c r="H13" s="10"/>
      <c r="I13" s="10"/>
      <c r="J13" s="10">
        <f>181.85+175.72</f>
        <v>357.57</v>
      </c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  <c r="AI13" s="12"/>
    </row>
    <row r="14" spans="1:35" x14ac:dyDescent="0.2">
      <c r="A14" s="1" t="s">
        <v>8</v>
      </c>
      <c r="B14" s="6">
        <f t="array" ref="B14">SUM(D14:AH14-D15:AH15)</f>
        <v>73.980000000000047</v>
      </c>
      <c r="C14" s="3" t="s">
        <v>2</v>
      </c>
      <c r="D14" s="4">
        <v>19.850000000000001</v>
      </c>
      <c r="E14" s="4"/>
      <c r="F14" s="4"/>
      <c r="G14" s="4">
        <v>54.7</v>
      </c>
      <c r="H14" s="4">
        <v>16.2</v>
      </c>
      <c r="I14" s="4"/>
      <c r="J14" s="4">
        <v>11.7</v>
      </c>
      <c r="K14" s="4">
        <v>9.9</v>
      </c>
      <c r="L14" s="4">
        <v>24.9</v>
      </c>
      <c r="M14" s="4">
        <v>13.75</v>
      </c>
      <c r="N14" s="4">
        <v>14.3</v>
      </c>
      <c r="O14" s="4">
        <v>10</v>
      </c>
      <c r="P14" s="4"/>
      <c r="Q14" s="4"/>
      <c r="R14" s="4">
        <v>10.4</v>
      </c>
      <c r="S14" s="4"/>
      <c r="T14" s="4">
        <v>16.2</v>
      </c>
      <c r="U14" s="4">
        <v>18.75</v>
      </c>
      <c r="V14" s="4"/>
      <c r="W14" s="4"/>
      <c r="X14" s="4"/>
      <c r="Y14" s="4">
        <v>16.5</v>
      </c>
      <c r="Z14" s="4">
        <v>24.45</v>
      </c>
      <c r="AA14" s="4">
        <v>60.55</v>
      </c>
      <c r="AB14" s="4">
        <v>42.7</v>
      </c>
      <c r="AC14" s="4">
        <v>22.05</v>
      </c>
      <c r="AD14" s="4"/>
      <c r="AE14" s="4"/>
      <c r="AF14" s="4">
        <v>15</v>
      </c>
      <c r="AG14" s="4">
        <v>16.850000000000001</v>
      </c>
      <c r="AH14" s="4"/>
      <c r="AI14" s="5"/>
    </row>
    <row r="15" spans="1:35" x14ac:dyDescent="0.2">
      <c r="A15" s="7">
        <f>SUM(D14:AH14)</f>
        <v>418.75000000000006</v>
      </c>
      <c r="B15" s="8">
        <f>SUM(D15:AH15)</f>
        <v>344.77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>
        <f>164.96+126.98+52.83</f>
        <v>344.77</v>
      </c>
      <c r="AB15" s="10"/>
      <c r="AC15" s="10"/>
      <c r="AD15" s="10"/>
      <c r="AE15" s="10"/>
      <c r="AF15" s="10"/>
      <c r="AG15" s="10"/>
      <c r="AH15" s="10"/>
      <c r="AI15" s="12"/>
    </row>
    <row r="16" spans="1:35" x14ac:dyDescent="0.2">
      <c r="A16" s="1" t="s">
        <v>9</v>
      </c>
      <c r="B16" s="6">
        <f t="array" ref="B16">SUM(D16:AH16-D17:AH17)</f>
        <v>613.5</v>
      </c>
      <c r="C16" s="3" t="s">
        <v>2</v>
      </c>
      <c r="D16" s="4">
        <v>44.6</v>
      </c>
      <c r="E16" s="4">
        <v>41.6</v>
      </c>
      <c r="F16" s="4"/>
      <c r="G16" s="4"/>
      <c r="H16" s="4">
        <v>15</v>
      </c>
      <c r="I16" s="4">
        <v>12.5</v>
      </c>
      <c r="J16" s="4"/>
      <c r="K16" s="4">
        <v>48.1</v>
      </c>
      <c r="L16" s="4">
        <v>46.75</v>
      </c>
      <c r="M16" s="4">
        <v>74.150000000000006</v>
      </c>
      <c r="N16" s="4"/>
      <c r="O16" s="4"/>
      <c r="P16" s="4">
        <v>20</v>
      </c>
      <c r="Q16" s="4">
        <v>16.600000000000001</v>
      </c>
      <c r="R16" s="4">
        <v>23.4</v>
      </c>
      <c r="S16" s="4">
        <v>14</v>
      </c>
      <c r="T16" s="4">
        <v>13</v>
      </c>
      <c r="U16" s="4"/>
      <c r="V16" s="4"/>
      <c r="W16" s="4">
        <v>34.65</v>
      </c>
      <c r="X16" s="4">
        <v>18</v>
      </c>
      <c r="Y16" s="4"/>
      <c r="Z16" s="4">
        <v>15.45</v>
      </c>
      <c r="AA16" s="4">
        <v>20.7</v>
      </c>
      <c r="AB16" s="4"/>
      <c r="AC16" s="4">
        <v>25</v>
      </c>
      <c r="AD16" s="4">
        <v>45.85</v>
      </c>
      <c r="AE16" s="4">
        <v>18</v>
      </c>
      <c r="AF16" s="4"/>
      <c r="AG16" s="4">
        <v>17.5</v>
      </c>
      <c r="AH16" s="4">
        <v>48.65</v>
      </c>
      <c r="AI16" s="5"/>
    </row>
    <row r="17" spans="1:35" x14ac:dyDescent="0.2">
      <c r="A17" s="7">
        <f>SUM(D16:AH16)</f>
        <v>613.5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2"/>
    </row>
    <row r="18" spans="1:35" x14ac:dyDescent="0.2">
      <c r="A18" s="1" t="s">
        <v>10</v>
      </c>
      <c r="B18" s="6">
        <f t="array" ref="B18">SUM(D18:AH18-D19:AH19)</f>
        <v>52.3</v>
      </c>
      <c r="C18" s="3" t="s">
        <v>2</v>
      </c>
      <c r="D18" s="4"/>
      <c r="E18" s="4"/>
      <c r="F18" s="4">
        <v>8.3000000000000007</v>
      </c>
      <c r="G18" s="4"/>
      <c r="H18" s="4">
        <v>15</v>
      </c>
      <c r="I18" s="4">
        <v>29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5"/>
    </row>
    <row r="19" spans="1:35" x14ac:dyDescent="0.2">
      <c r="A19" s="7">
        <f>SUM(D18:AH18)</f>
        <v>52.3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2"/>
    </row>
    <row r="20" spans="1:35" x14ac:dyDescent="0.2">
      <c r="A20" s="1" t="s">
        <v>11</v>
      </c>
      <c r="B20" s="6">
        <f t="array" ref="B20">SUM(D20:AH20-D21:AH21)</f>
        <v>-3.9499999999999815</v>
      </c>
      <c r="C20" s="3" t="s">
        <v>2</v>
      </c>
      <c r="D20" s="4"/>
      <c r="E20" s="4">
        <v>26.9</v>
      </c>
      <c r="F20" s="4"/>
      <c r="G20" s="4">
        <v>10</v>
      </c>
      <c r="H20" s="4"/>
      <c r="I20" s="4">
        <v>8.1</v>
      </c>
      <c r="J20" s="4"/>
      <c r="K20" s="4">
        <v>15</v>
      </c>
      <c r="L20" s="4">
        <v>42.7</v>
      </c>
      <c r="M20" s="4">
        <v>52.85</v>
      </c>
      <c r="N20" s="4"/>
      <c r="O20" s="4"/>
      <c r="P20" s="4"/>
      <c r="Q20" s="4">
        <v>14.6</v>
      </c>
      <c r="R20" s="4">
        <v>31.2</v>
      </c>
      <c r="S20" s="4">
        <v>35.700000000000003</v>
      </c>
      <c r="T20" s="4">
        <v>10.5</v>
      </c>
      <c r="U20" s="4"/>
      <c r="V20" s="4"/>
      <c r="W20" s="4">
        <v>21.55</v>
      </c>
      <c r="X20" s="4">
        <v>40.1</v>
      </c>
      <c r="Y20" s="4"/>
      <c r="Z20" s="4">
        <v>12</v>
      </c>
      <c r="AA20" s="4">
        <v>24.3</v>
      </c>
      <c r="AB20" s="4"/>
      <c r="AC20" s="4"/>
      <c r="AD20" s="4">
        <v>25.2</v>
      </c>
      <c r="AE20" s="4">
        <v>10.7</v>
      </c>
      <c r="AF20" s="4">
        <v>40.9</v>
      </c>
      <c r="AG20" s="4"/>
      <c r="AH20" s="4"/>
      <c r="AI20" s="5"/>
    </row>
    <row r="21" spans="1:35" x14ac:dyDescent="0.2">
      <c r="A21" s="7">
        <f>SUM(D20:AH20)</f>
        <v>422.3</v>
      </c>
      <c r="B21" s="8">
        <f>SUM(D21:AH21)</f>
        <v>426.25</v>
      </c>
      <c r="C21" s="9" t="s">
        <v>3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>
        <f>239.87+110.32+76.06</f>
        <v>426.25</v>
      </c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2"/>
    </row>
    <row r="22" spans="1:35" x14ac:dyDescent="0.2">
      <c r="A22" s="1" t="s">
        <v>12</v>
      </c>
      <c r="B22" s="6">
        <f t="array" ref="B22">SUM(D22:AH22-D23:AH23)</f>
        <v>417.94999999999993</v>
      </c>
      <c r="C22" s="3" t="s">
        <v>2</v>
      </c>
      <c r="D22" s="4">
        <v>36.299999999999997</v>
      </c>
      <c r="E22" s="4">
        <v>24.1</v>
      </c>
      <c r="F22" s="4"/>
      <c r="G22" s="4">
        <v>6.5</v>
      </c>
      <c r="H22" s="4">
        <v>37.799999999999997</v>
      </c>
      <c r="I22" s="4">
        <v>10.6</v>
      </c>
      <c r="J22" s="4">
        <v>67.349999999999994</v>
      </c>
      <c r="K22" s="4">
        <v>11.5</v>
      </c>
      <c r="L22" s="4">
        <v>37.6</v>
      </c>
      <c r="M22" s="4"/>
      <c r="N22" s="4">
        <v>11.8</v>
      </c>
      <c r="O22" s="4">
        <v>14</v>
      </c>
      <c r="P22" s="4">
        <v>52.6</v>
      </c>
      <c r="Q22" s="4">
        <v>21.2</v>
      </c>
      <c r="R22" s="4"/>
      <c r="S22" s="4">
        <v>14.4</v>
      </c>
      <c r="T22" s="4"/>
      <c r="U22" s="4">
        <v>13.6</v>
      </c>
      <c r="V22" s="4">
        <v>53.9</v>
      </c>
      <c r="W22" s="4">
        <v>10.7</v>
      </c>
      <c r="X22" s="4">
        <v>11</v>
      </c>
      <c r="Y22" s="4">
        <v>13.3</v>
      </c>
      <c r="Z22" s="4">
        <v>12</v>
      </c>
      <c r="AA22" s="4"/>
      <c r="AB22" s="4"/>
      <c r="AC22" s="4">
        <v>16.7</v>
      </c>
      <c r="AD22" s="4">
        <v>24.4</v>
      </c>
      <c r="AE22" s="4">
        <v>27.3</v>
      </c>
      <c r="AF22" s="4">
        <v>14.4</v>
      </c>
      <c r="AG22" s="4">
        <v>20.9</v>
      </c>
      <c r="AH22" s="4"/>
      <c r="AI22" s="5"/>
    </row>
    <row r="23" spans="1:35" x14ac:dyDescent="0.2">
      <c r="A23" s="7">
        <f>SUM(D22:AH22)</f>
        <v>563.94999999999982</v>
      </c>
      <c r="B23" s="8">
        <f>SUM(D23:AH23)</f>
        <v>146</v>
      </c>
      <c r="C23" s="9" t="s">
        <v>3</v>
      </c>
      <c r="D23" s="10"/>
      <c r="E23" s="10"/>
      <c r="F23" s="10"/>
      <c r="G23" s="10">
        <v>146</v>
      </c>
      <c r="H23" s="12"/>
      <c r="I23" s="15"/>
      <c r="J23" s="10"/>
      <c r="K23" s="10"/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2"/>
    </row>
    <row r="24" spans="1:35" x14ac:dyDescent="0.2">
      <c r="A24" s="1" t="s">
        <v>13</v>
      </c>
      <c r="B24" s="6">
        <f t="array" ref="B24">SUM(D24:AH24-D25:AH25)</f>
        <v>59.689999999999912</v>
      </c>
      <c r="C24" s="3" t="s">
        <v>2</v>
      </c>
      <c r="D24" s="4"/>
      <c r="E24" s="4">
        <v>15.1</v>
      </c>
      <c r="F24" s="4"/>
      <c r="G24" s="4">
        <v>18.8</v>
      </c>
      <c r="H24" s="4">
        <v>58.4</v>
      </c>
      <c r="I24" s="4">
        <v>48.3</v>
      </c>
      <c r="J24" s="4"/>
      <c r="K24" s="4">
        <v>11.9</v>
      </c>
      <c r="M24" s="4">
        <v>47.4</v>
      </c>
      <c r="N24" s="4"/>
      <c r="O24" s="4">
        <v>35.1</v>
      </c>
      <c r="P24" s="4">
        <v>109.9</v>
      </c>
      <c r="Q24" s="4"/>
      <c r="R24" s="4"/>
      <c r="S24" s="4">
        <v>7.7</v>
      </c>
      <c r="T24" s="4">
        <v>11</v>
      </c>
      <c r="U24" s="4">
        <v>8.8000000000000007</v>
      </c>
      <c r="V24" s="4">
        <v>16.2</v>
      </c>
      <c r="W24" s="4">
        <v>41.5</v>
      </c>
      <c r="X24" s="4"/>
      <c r="Y24" s="4">
        <v>20.5</v>
      </c>
      <c r="Z24" s="4">
        <v>8.8000000000000007</v>
      </c>
      <c r="AA24" s="4">
        <v>11</v>
      </c>
      <c r="AB24" s="4">
        <v>23.2</v>
      </c>
      <c r="AC24" s="4"/>
      <c r="AD24" s="4">
        <v>15.3</v>
      </c>
      <c r="AE24" s="4"/>
      <c r="AF24" s="4"/>
      <c r="AG24" s="4">
        <v>32.1</v>
      </c>
      <c r="AH24" s="4"/>
      <c r="AI24" s="5"/>
    </row>
    <row r="25" spans="1:35" x14ac:dyDescent="0.2">
      <c r="A25" s="7">
        <f>SUM(D24:AH24)</f>
        <v>541</v>
      </c>
      <c r="B25" s="8">
        <f>SUM(D25:AH25)</f>
        <v>481.31</v>
      </c>
      <c r="C25" s="9" t="s">
        <v>3</v>
      </c>
      <c r="D25" s="10"/>
      <c r="E25" s="10"/>
      <c r="F25" s="10"/>
      <c r="G25" s="10"/>
      <c r="H25" s="10">
        <f>240.88+196.43+44</f>
        <v>481.31</v>
      </c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2"/>
    </row>
    <row r="26" spans="1:35" x14ac:dyDescent="0.2">
      <c r="A26" s="1" t="s">
        <v>14</v>
      </c>
      <c r="B26" s="6">
        <f t="array" ref="B26">SUM(D26:AH26-D27:AH27)</f>
        <v>126.02999999999999</v>
      </c>
      <c r="C26" s="3" t="s">
        <v>2</v>
      </c>
      <c r="D26" s="4">
        <v>15.2</v>
      </c>
      <c r="E26" s="4">
        <v>51.8</v>
      </c>
      <c r="F26" s="4">
        <v>53.2</v>
      </c>
      <c r="G26" s="4">
        <v>20.399999999999999</v>
      </c>
      <c r="H26" s="4"/>
      <c r="J26" s="4">
        <v>22.3</v>
      </c>
      <c r="K26" s="4"/>
      <c r="L26" s="4">
        <v>13.3</v>
      </c>
      <c r="M26" s="4"/>
      <c r="N26" s="4">
        <v>28.1</v>
      </c>
      <c r="O26" s="4"/>
      <c r="P26" s="4"/>
      <c r="Q26" s="4">
        <v>60.4</v>
      </c>
      <c r="R26" s="4">
        <v>21.9</v>
      </c>
      <c r="S26" s="4">
        <v>58.3</v>
      </c>
      <c r="T26" s="4">
        <v>28.6</v>
      </c>
      <c r="U26" s="4">
        <v>24</v>
      </c>
      <c r="V26" s="4"/>
      <c r="W26" s="4"/>
      <c r="X26" s="4">
        <v>37.700000000000003</v>
      </c>
      <c r="Y26" s="4">
        <v>59.9</v>
      </c>
      <c r="Z26" s="4">
        <v>27</v>
      </c>
      <c r="AA26" s="4">
        <v>23</v>
      </c>
      <c r="AB26" s="4"/>
      <c r="AC26" s="4"/>
      <c r="AD26" s="4">
        <v>32.700000000000003</v>
      </c>
      <c r="AE26" s="4">
        <v>30.6</v>
      </c>
      <c r="AF26" s="4">
        <v>53.05</v>
      </c>
      <c r="AG26" s="4">
        <v>61.3</v>
      </c>
      <c r="AH26" s="4">
        <v>31.7</v>
      </c>
      <c r="AI26" s="5"/>
    </row>
    <row r="27" spans="1:35" x14ac:dyDescent="0.2">
      <c r="A27" s="7">
        <f>SUM(D26:AH26)</f>
        <v>754.44999999999993</v>
      </c>
      <c r="B27" s="8">
        <f>SUM(D27:AH27)</f>
        <v>628.42000000000007</v>
      </c>
      <c r="C27" s="9" t="s">
        <v>3</v>
      </c>
      <c r="D27" s="10"/>
      <c r="E27" s="10"/>
      <c r="F27" s="10"/>
      <c r="G27" s="10"/>
      <c r="H27" s="12"/>
      <c r="I27" s="11"/>
      <c r="J27" s="10"/>
      <c r="K27" s="10"/>
      <c r="L27" s="10"/>
      <c r="M27" s="10">
        <f>319.56+289.66+19.2</f>
        <v>628.42000000000007</v>
      </c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2"/>
    </row>
    <row r="28" spans="1:35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3"/>
    </row>
    <row r="29" spans="1:35" x14ac:dyDescent="0.2">
      <c r="A29" s="1" t="s">
        <v>15</v>
      </c>
      <c r="B29" s="17">
        <f>SUMPRODUCT((D4:AH4)+(D6:AH6)+(D8:AH8)+(D10:AH10)+(D12:AH12)+(D14:AH14)+(D16:AH16)+(D18:AH18)+(D20:AH20)+(D22:AH22)+(D24:AH24)+(D26:AH26))</f>
        <v>5696.9000000000005</v>
      </c>
      <c r="C29" s="3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5"/>
    </row>
    <row r="30" spans="1:35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3256.9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5"/>
    </row>
    <row r="31" spans="1:35" x14ac:dyDescent="0.2">
      <c r="A31" s="1" t="s">
        <v>17</v>
      </c>
      <c r="B31" s="6">
        <f>B29-B30</f>
        <v>2440.0000000000005</v>
      </c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5"/>
    </row>
    <row r="32" spans="1:35" x14ac:dyDescent="0.2">
      <c r="A32" s="1"/>
      <c r="B32" s="2"/>
      <c r="C32" s="3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5"/>
    </row>
  </sheetData>
  <conditionalFormatting sqref="B31">
    <cfRule type="cellIs" dxfId="33" priority="1" stopIfTrue="1" operator="lessThanOrEqual">
      <formula>0</formula>
    </cfRule>
    <cfRule type="cellIs" dxfId="32" priority="2" stopIfTrue="1" operator="greaterThanOrEqual">
      <formula>0</formula>
    </cfRule>
  </conditionalFormatting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"/>
  <sheetViews>
    <sheetView topLeftCell="A7" workbookViewId="0">
      <selection activeCell="I19" sqref="I19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4" width="6.5703125" bestFit="1" customWidth="1"/>
    <col min="5" max="5" width="5.5703125" bestFit="1" customWidth="1"/>
    <col min="6" max="9" width="6.5703125" bestFit="1" customWidth="1"/>
    <col min="10" max="10" width="5.5703125" bestFit="1" customWidth="1"/>
    <col min="11" max="14" width="6.5703125" bestFit="1" customWidth="1"/>
    <col min="15" max="15" width="5.5703125" bestFit="1" customWidth="1"/>
    <col min="16" max="19" width="6.5703125" bestFit="1" customWidth="1"/>
    <col min="20" max="20" width="5.5703125" bestFit="1" customWidth="1"/>
    <col min="21" max="26" width="6.5703125" bestFit="1" customWidth="1"/>
    <col min="27" max="28" width="5.5703125" bestFit="1" customWidth="1"/>
    <col min="29" max="30" width="6.5703125" bestFit="1" customWidth="1"/>
    <col min="31" max="31" width="5.5703125" bestFit="1" customWidth="1"/>
    <col min="32" max="32" width="6.5703125" bestFit="1" customWidth="1"/>
    <col min="33" max="34" width="5.5703125" bestFit="1" customWidth="1"/>
  </cols>
  <sheetData>
    <row r="1" spans="1:35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5"/>
    </row>
    <row r="2" spans="1:35" x14ac:dyDescent="0.2">
      <c r="A2" s="1">
        <v>2011</v>
      </c>
      <c r="B2" s="1" t="s">
        <v>0</v>
      </c>
      <c r="C2" s="1"/>
      <c r="D2" s="1">
        <v>1</v>
      </c>
      <c r="E2" s="1">
        <f t="shared" ref="E2:AH2" si="0">D2+1</f>
        <v>2</v>
      </c>
      <c r="F2" s="1">
        <f t="shared" si="0"/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  <c r="AI2" s="1"/>
    </row>
    <row r="3" spans="1:35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5"/>
    </row>
    <row r="4" spans="1:35" x14ac:dyDescent="0.2">
      <c r="A4" s="1" t="s">
        <v>1</v>
      </c>
      <c r="B4" s="6">
        <f t="array" ref="B4">SUM(D4:AH4-D5:AH5)</f>
        <v>406.45</v>
      </c>
      <c r="C4" s="3" t="s">
        <v>2</v>
      </c>
      <c r="D4" s="4"/>
      <c r="E4" s="4"/>
      <c r="F4" s="4"/>
      <c r="G4" s="4">
        <v>15.2</v>
      </c>
      <c r="H4" s="4">
        <v>11.5</v>
      </c>
      <c r="I4" s="4"/>
      <c r="J4" s="4">
        <v>6.4</v>
      </c>
      <c r="K4" s="4">
        <v>21</v>
      </c>
      <c r="L4" s="4"/>
      <c r="M4" s="4">
        <v>14.4</v>
      </c>
      <c r="N4" s="4">
        <v>11</v>
      </c>
      <c r="O4" s="4">
        <v>13</v>
      </c>
      <c r="P4" s="4">
        <v>49.4</v>
      </c>
      <c r="Q4" s="4">
        <v>30.9</v>
      </c>
      <c r="R4" s="4"/>
      <c r="S4" s="4"/>
      <c r="T4" s="4">
        <v>11.7</v>
      </c>
      <c r="U4" s="4">
        <v>12.2</v>
      </c>
      <c r="V4" s="4">
        <v>18.2</v>
      </c>
      <c r="W4" s="4">
        <v>16.3</v>
      </c>
      <c r="X4" s="4">
        <v>42.5</v>
      </c>
      <c r="Y4" s="4">
        <v>20</v>
      </c>
      <c r="Z4" s="4"/>
      <c r="AA4" s="4"/>
      <c r="AB4" s="4">
        <v>47.8</v>
      </c>
      <c r="AC4" s="4">
        <v>14.7</v>
      </c>
      <c r="AD4" s="4"/>
      <c r="AE4" s="4">
        <v>17</v>
      </c>
      <c r="AF4" s="4">
        <v>14.65</v>
      </c>
      <c r="AG4" s="4"/>
      <c r="AH4" s="4">
        <v>18.600000000000001</v>
      </c>
      <c r="AI4" s="5"/>
    </row>
    <row r="5" spans="1:35" x14ac:dyDescent="0.2">
      <c r="A5" s="7">
        <f>SUM(D4:AH4)</f>
        <v>406.45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2"/>
    </row>
    <row r="6" spans="1:35" x14ac:dyDescent="0.2">
      <c r="A6" s="1" t="s">
        <v>4</v>
      </c>
      <c r="B6" s="6">
        <f t="array" ref="B6">SUM(D6:AH6-D7:AH7)</f>
        <v>2.5900000000000567</v>
      </c>
      <c r="C6" s="3" t="s">
        <v>2</v>
      </c>
      <c r="D6" s="4">
        <v>13.9</v>
      </c>
      <c r="E6" s="4">
        <v>41</v>
      </c>
      <c r="F6" s="4">
        <v>9.1999999999999993</v>
      </c>
      <c r="G6" s="4">
        <v>24.9</v>
      </c>
      <c r="H6" s="4">
        <v>12.5</v>
      </c>
      <c r="I6" s="4"/>
      <c r="J6" s="4">
        <v>21.8</v>
      </c>
      <c r="K6" s="4">
        <v>30.1</v>
      </c>
      <c r="L6" s="4">
        <v>8.5</v>
      </c>
      <c r="M6" s="4">
        <v>26.8</v>
      </c>
      <c r="N6" s="4">
        <v>9</v>
      </c>
      <c r="O6" s="4">
        <v>24.6</v>
      </c>
      <c r="P6" s="4"/>
      <c r="Q6" s="4">
        <v>1.2</v>
      </c>
      <c r="R6" s="4">
        <v>28.6</v>
      </c>
      <c r="S6" s="4">
        <v>22.7</v>
      </c>
      <c r="T6" s="4"/>
      <c r="U6" s="4">
        <v>17.8</v>
      </c>
      <c r="V6" s="4">
        <v>19.7</v>
      </c>
      <c r="W6" s="4"/>
      <c r="X6" s="4">
        <v>8</v>
      </c>
      <c r="Y6" s="4">
        <v>11.5</v>
      </c>
      <c r="Z6" s="4"/>
      <c r="AA6" s="4">
        <v>33.65</v>
      </c>
      <c r="AB6" s="4">
        <v>16.5</v>
      </c>
      <c r="AC6" s="4">
        <v>13.3</v>
      </c>
      <c r="AD6" s="4"/>
      <c r="AE6" s="4"/>
      <c r="AF6" s="4"/>
      <c r="AG6" s="4"/>
      <c r="AH6" s="4"/>
      <c r="AI6" s="5"/>
    </row>
    <row r="7" spans="1:35" x14ac:dyDescent="0.2">
      <c r="A7" s="7">
        <f>SUM(D6:AH6)</f>
        <v>395.25</v>
      </c>
      <c r="B7" s="8">
        <f>SUM(D7:AH7)</f>
        <v>392.65999999999997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  <c r="R7" s="10">
        <f>232.68+159.98</f>
        <v>392.65999999999997</v>
      </c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2"/>
    </row>
    <row r="8" spans="1:35" x14ac:dyDescent="0.2">
      <c r="A8" s="1" t="s">
        <v>5</v>
      </c>
      <c r="B8" s="6">
        <f t="array" ref="B8">SUM(D8:AH8-D9:AH9)</f>
        <v>347.24999999999994</v>
      </c>
      <c r="C8" s="3" t="s">
        <v>2</v>
      </c>
      <c r="D8" s="4"/>
      <c r="E8" s="4">
        <v>10</v>
      </c>
      <c r="F8" s="4">
        <v>39.299999999999997</v>
      </c>
      <c r="G8" s="4">
        <v>8.6</v>
      </c>
      <c r="H8" s="4">
        <v>15.4</v>
      </c>
      <c r="I8" s="4"/>
      <c r="J8" s="4">
        <v>10.9</v>
      </c>
      <c r="K8" s="4">
        <v>8.85</v>
      </c>
      <c r="L8" s="4">
        <v>14.7</v>
      </c>
      <c r="M8" s="4">
        <v>40.25</v>
      </c>
      <c r="N8" s="4">
        <v>69.75</v>
      </c>
      <c r="O8" s="4">
        <v>21.15</v>
      </c>
      <c r="P8" s="4"/>
      <c r="Q8" s="4">
        <v>17.45</v>
      </c>
      <c r="R8" s="4"/>
      <c r="S8" s="4"/>
      <c r="T8" s="4"/>
      <c r="U8" s="4">
        <v>9.1999999999999993</v>
      </c>
      <c r="V8" s="4">
        <v>11.4</v>
      </c>
      <c r="W8" s="4"/>
      <c r="X8" s="4"/>
      <c r="Y8" s="4">
        <v>17.600000000000001</v>
      </c>
      <c r="Z8" s="4">
        <v>10.199999999999999</v>
      </c>
      <c r="AA8" s="4">
        <v>5.4</v>
      </c>
      <c r="AB8" s="4">
        <v>15</v>
      </c>
      <c r="AC8" s="4"/>
      <c r="AD8" s="4"/>
      <c r="AE8" s="4"/>
      <c r="AF8" s="4">
        <v>13.2</v>
      </c>
      <c r="AG8" s="4">
        <v>8.9</v>
      </c>
      <c r="AH8" s="4"/>
      <c r="AI8" s="5"/>
    </row>
    <row r="9" spans="1:35" x14ac:dyDescent="0.2">
      <c r="A9" s="7">
        <f>SUM(D8:AH8)</f>
        <v>347.24999999999994</v>
      </c>
      <c r="B9" s="8">
        <f>SUM(D9:AH9)</f>
        <v>0</v>
      </c>
      <c r="C9" s="9" t="s">
        <v>3</v>
      </c>
      <c r="D9" s="10"/>
      <c r="E9" s="10"/>
      <c r="F9" s="10"/>
      <c r="G9" s="10"/>
      <c r="H9" s="10"/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2"/>
    </row>
    <row r="10" spans="1:35" x14ac:dyDescent="0.2">
      <c r="A10" s="1" t="s">
        <v>6</v>
      </c>
      <c r="B10" s="6">
        <f t="array" ref="B10">SUM(D10:AH10-D11:AH11)</f>
        <v>113.96999999999998</v>
      </c>
      <c r="C10" s="3" t="s">
        <v>2</v>
      </c>
      <c r="D10" s="4"/>
      <c r="E10" s="4">
        <v>10.8</v>
      </c>
      <c r="F10" s="4"/>
      <c r="G10" s="4"/>
      <c r="H10" s="4">
        <v>91.1</v>
      </c>
      <c r="I10" s="4">
        <v>14.1</v>
      </c>
      <c r="J10" s="4"/>
      <c r="K10" s="4">
        <v>17.899999999999999</v>
      </c>
      <c r="L10" s="4">
        <v>11.55</v>
      </c>
      <c r="M10" s="4"/>
      <c r="N10" s="4">
        <v>14.1</v>
      </c>
      <c r="O10" s="4"/>
      <c r="P10" s="4">
        <v>16.600000000000001</v>
      </c>
      <c r="Q10" s="4">
        <v>21.6</v>
      </c>
      <c r="R10" s="4">
        <v>9</v>
      </c>
      <c r="S10" s="4">
        <v>16.25</v>
      </c>
      <c r="T10" s="4"/>
      <c r="U10" s="4">
        <v>17.399999999999999</v>
      </c>
      <c r="V10" s="4">
        <v>33.700000000000003</v>
      </c>
      <c r="W10" s="4">
        <v>77.75</v>
      </c>
      <c r="X10" s="4">
        <v>14.2</v>
      </c>
      <c r="Y10" s="4">
        <v>10.050000000000001</v>
      </c>
      <c r="Z10" s="4">
        <v>16.8</v>
      </c>
      <c r="AA10" s="4"/>
      <c r="AB10" s="4"/>
      <c r="AC10" s="4"/>
      <c r="AD10" s="4">
        <v>12.4</v>
      </c>
      <c r="AE10" s="4"/>
      <c r="AF10" s="4">
        <v>70.900000000000006</v>
      </c>
      <c r="AG10" s="4">
        <v>20.3</v>
      </c>
      <c r="AH10" s="4"/>
      <c r="AI10" s="5"/>
    </row>
    <row r="11" spans="1:35" x14ac:dyDescent="0.2">
      <c r="A11" s="7">
        <f>SUM(D10:AH10)</f>
        <v>496.49999999999994</v>
      </c>
      <c r="B11" s="8">
        <f>SUM(D11:AH11)</f>
        <v>382.53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>
        <f>191.53+191</f>
        <v>382.53</v>
      </c>
      <c r="V11" s="11"/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  <c r="AI11" s="12"/>
    </row>
    <row r="12" spans="1:35" x14ac:dyDescent="0.2">
      <c r="A12" s="1" t="s">
        <v>7</v>
      </c>
      <c r="B12" s="6">
        <f t="array" ref="B12">SUM(D12:AH12-D13:AH13)</f>
        <v>387.80000000000007</v>
      </c>
      <c r="C12" s="3" t="s">
        <v>2</v>
      </c>
      <c r="D12" s="4"/>
      <c r="E12" s="4"/>
      <c r="F12" s="4">
        <v>28.1</v>
      </c>
      <c r="G12" s="4">
        <v>11.4</v>
      </c>
      <c r="H12" s="4"/>
      <c r="I12" s="4">
        <v>12.4</v>
      </c>
      <c r="J12" s="4">
        <v>10.4</v>
      </c>
      <c r="K12" s="4"/>
      <c r="L12" s="4"/>
      <c r="M12" s="4">
        <v>60.6</v>
      </c>
      <c r="N12" s="4"/>
      <c r="O12" s="4">
        <v>12</v>
      </c>
      <c r="P12" s="4"/>
      <c r="Q12" s="4">
        <v>11.8</v>
      </c>
      <c r="R12" s="4"/>
      <c r="S12" s="4"/>
      <c r="T12" s="4">
        <v>81.3</v>
      </c>
      <c r="U12" s="4">
        <v>11.3</v>
      </c>
      <c r="V12" s="4">
        <v>20.85</v>
      </c>
      <c r="W12" s="4">
        <v>23</v>
      </c>
      <c r="X12" s="4">
        <v>11.55</v>
      </c>
      <c r="Y12" s="4"/>
      <c r="Z12" s="4"/>
      <c r="AA12" s="4">
        <v>18.100000000000001</v>
      </c>
      <c r="AB12" s="4">
        <v>25.2</v>
      </c>
      <c r="AC12" s="4">
        <v>12.2</v>
      </c>
      <c r="AD12" s="4"/>
      <c r="AE12" s="4">
        <v>21.6</v>
      </c>
      <c r="AF12" s="4"/>
      <c r="AG12" s="4"/>
      <c r="AH12" s="4">
        <v>16</v>
      </c>
      <c r="AI12" s="5"/>
    </row>
    <row r="13" spans="1:35" x14ac:dyDescent="0.2">
      <c r="A13" s="7">
        <f>SUM(D12:AH12)</f>
        <v>387.80000000000007</v>
      </c>
      <c r="B13" s="8">
        <f>SUM(D13:AH13)</f>
        <v>0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  <c r="AI13" s="12"/>
    </row>
    <row r="14" spans="1:35" x14ac:dyDescent="0.2">
      <c r="A14" s="1" t="s">
        <v>8</v>
      </c>
      <c r="B14" s="6">
        <f t="array" ref="B14">SUM(D14:AH14-D15:AH15)</f>
        <v>8.7399999999999736</v>
      </c>
      <c r="C14" s="3" t="s">
        <v>2</v>
      </c>
      <c r="D14" s="4">
        <v>25</v>
      </c>
      <c r="E14" s="4"/>
      <c r="F14" s="4">
        <v>15.65</v>
      </c>
      <c r="G14" s="4">
        <v>30.1</v>
      </c>
      <c r="H14" s="4"/>
      <c r="I14" s="4">
        <v>28.35</v>
      </c>
      <c r="J14" s="4"/>
      <c r="K14" s="4">
        <v>12</v>
      </c>
      <c r="L14" s="4">
        <v>16.2</v>
      </c>
      <c r="M14" s="4">
        <v>52</v>
      </c>
      <c r="N14" s="4">
        <v>59.3</v>
      </c>
      <c r="O14" s="4"/>
      <c r="P14" s="4"/>
      <c r="Q14" s="4">
        <v>45.9</v>
      </c>
      <c r="R14" s="4"/>
      <c r="S14" s="4">
        <v>41.7</v>
      </c>
      <c r="T14" s="4">
        <v>48</v>
      </c>
      <c r="U14" s="4">
        <v>46.05</v>
      </c>
      <c r="V14" s="4"/>
      <c r="W14" s="4"/>
      <c r="X14" s="4">
        <v>14</v>
      </c>
      <c r="Y14" s="4">
        <v>30.4</v>
      </c>
      <c r="Z14" s="4">
        <v>12.9</v>
      </c>
      <c r="AA14" s="4">
        <v>38.6</v>
      </c>
      <c r="AB14" s="4"/>
      <c r="AC14" s="4"/>
      <c r="AD14" s="4"/>
      <c r="AE14" s="4">
        <v>18.899999999999999</v>
      </c>
      <c r="AF14" s="4"/>
      <c r="AG14" s="4">
        <v>13</v>
      </c>
      <c r="AH14" s="4"/>
      <c r="AI14" s="5"/>
    </row>
    <row r="15" spans="1:35" x14ac:dyDescent="0.2">
      <c r="A15" s="7">
        <f>SUM(D14:AH14)</f>
        <v>548.04999999999995</v>
      </c>
      <c r="B15" s="8">
        <f>SUM(D15:AH15)</f>
        <v>539.30999999999995</v>
      </c>
      <c r="C15" s="9" t="s">
        <v>3</v>
      </c>
      <c r="D15" s="10"/>
      <c r="E15" s="10"/>
      <c r="F15" s="10"/>
      <c r="G15" s="10"/>
      <c r="H15" s="10"/>
      <c r="I15" s="10"/>
      <c r="J15" s="10"/>
      <c r="K15" s="10">
        <f>201.59+200.72</f>
        <v>402.31</v>
      </c>
      <c r="L15" s="10"/>
      <c r="M15" s="13"/>
      <c r="N15" s="10"/>
      <c r="O15" s="10"/>
      <c r="P15" s="10"/>
      <c r="Q15" s="10"/>
      <c r="R15" s="10"/>
      <c r="S15" s="10">
        <v>137</v>
      </c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2"/>
    </row>
    <row r="16" spans="1:35" x14ac:dyDescent="0.2">
      <c r="A16" s="1" t="s">
        <v>9</v>
      </c>
      <c r="B16" s="6">
        <f t="array" ref="B16">SUM(D16:AH16-D17:AH17)</f>
        <v>336.55</v>
      </c>
      <c r="C16" s="3" t="s">
        <v>2</v>
      </c>
      <c r="D16" s="4"/>
      <c r="E16" s="4">
        <v>20</v>
      </c>
      <c r="F16" s="4"/>
      <c r="G16" s="4"/>
      <c r="H16" s="4">
        <v>14</v>
      </c>
      <c r="I16" s="4">
        <v>23.5</v>
      </c>
      <c r="J16" s="4">
        <v>12.4</v>
      </c>
      <c r="K16" s="4"/>
      <c r="L16" s="4">
        <v>11.8</v>
      </c>
      <c r="M16" s="4"/>
      <c r="N16" s="4">
        <v>11.75</v>
      </c>
      <c r="O16" s="4"/>
      <c r="P16" s="4">
        <v>13.85</v>
      </c>
      <c r="Q16" s="4"/>
      <c r="R16" s="4">
        <v>16</v>
      </c>
      <c r="S16" s="4">
        <v>27.6</v>
      </c>
      <c r="T16" s="4"/>
      <c r="U16" s="4"/>
      <c r="V16" s="4">
        <v>8.3000000000000007</v>
      </c>
      <c r="W16" s="4">
        <v>56.6</v>
      </c>
      <c r="X16" s="4">
        <v>37.5</v>
      </c>
      <c r="Y16" s="4"/>
      <c r="Z16" s="4">
        <v>12</v>
      </c>
      <c r="AA16" s="4"/>
      <c r="AB16" s="4">
        <v>12</v>
      </c>
      <c r="AC16" s="4">
        <v>6</v>
      </c>
      <c r="AD16" s="4">
        <v>12.7</v>
      </c>
      <c r="AE16" s="4">
        <v>14.35</v>
      </c>
      <c r="AF16" s="4">
        <v>8.1999999999999993</v>
      </c>
      <c r="AG16" s="4">
        <v>18</v>
      </c>
      <c r="AH16" s="4"/>
      <c r="AI16" s="5"/>
    </row>
    <row r="17" spans="1:35" x14ac:dyDescent="0.2">
      <c r="A17" s="7">
        <f>SUM(D16:AH16)</f>
        <v>336.55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2"/>
    </row>
    <row r="18" spans="1:35" x14ac:dyDescent="0.2">
      <c r="A18" s="1" t="s">
        <v>10</v>
      </c>
      <c r="B18" s="6">
        <f t="array" ref="B18">SUM(D18:AH18-D19:AH19)</f>
        <v>21</v>
      </c>
      <c r="C18" s="3" t="s">
        <v>2</v>
      </c>
      <c r="D18" s="4"/>
      <c r="E18" s="4">
        <v>7</v>
      </c>
      <c r="F18" s="4"/>
      <c r="G18" s="4">
        <v>10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>
        <v>4</v>
      </c>
      <c r="AI18" s="5"/>
    </row>
    <row r="19" spans="1:35" x14ac:dyDescent="0.2">
      <c r="A19" s="7">
        <f>SUM(D18:AH18)</f>
        <v>21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2"/>
    </row>
    <row r="20" spans="1:35" x14ac:dyDescent="0.2">
      <c r="A20" s="1" t="s">
        <v>11</v>
      </c>
      <c r="B20" s="6">
        <f t="array" ref="B20">SUM(D20:AH20-D21:AH21)</f>
        <v>-60.21</v>
      </c>
      <c r="C20" s="3" t="s">
        <v>2</v>
      </c>
      <c r="D20" s="4"/>
      <c r="E20" s="4"/>
      <c r="F20" s="4">
        <v>15</v>
      </c>
      <c r="G20" s="4"/>
      <c r="H20" s="4"/>
      <c r="I20" s="4">
        <v>14.4</v>
      </c>
      <c r="J20" s="4"/>
      <c r="K20" s="4">
        <v>27</v>
      </c>
      <c r="L20" s="4">
        <v>49.4</v>
      </c>
      <c r="M20" s="4"/>
      <c r="N20" s="4"/>
      <c r="O20" s="4"/>
      <c r="P20" s="4">
        <v>12.5</v>
      </c>
      <c r="Q20" s="4">
        <v>15.1</v>
      </c>
      <c r="R20" s="4">
        <v>8.5</v>
      </c>
      <c r="S20" s="4">
        <v>10.4</v>
      </c>
      <c r="T20" s="4">
        <v>32.4</v>
      </c>
      <c r="U20" s="4"/>
      <c r="V20" s="4">
        <v>8</v>
      </c>
      <c r="W20" s="4"/>
      <c r="X20" s="4">
        <v>12</v>
      </c>
      <c r="Y20" s="4">
        <v>101</v>
      </c>
      <c r="Z20" s="4">
        <v>6.9</v>
      </c>
      <c r="AA20" s="4">
        <v>10.1</v>
      </c>
      <c r="AB20" s="4"/>
      <c r="AC20" s="4"/>
      <c r="AD20" s="4"/>
      <c r="AE20" s="4">
        <v>25.6</v>
      </c>
      <c r="AF20" s="4">
        <v>8.6</v>
      </c>
      <c r="AG20" s="4"/>
      <c r="AH20" s="4"/>
      <c r="AI20" s="5"/>
    </row>
    <row r="21" spans="1:35" x14ac:dyDescent="0.2">
      <c r="A21" s="7">
        <f>SUM(D20:AH20)</f>
        <v>356.90000000000009</v>
      </c>
      <c r="B21" s="8">
        <f>SUM(D21:AH21)</f>
        <v>417.11</v>
      </c>
      <c r="C21" s="9" t="s">
        <v>3</v>
      </c>
      <c r="D21" s="10"/>
      <c r="E21" s="10"/>
      <c r="F21" s="10"/>
      <c r="G21" s="10"/>
      <c r="H21" s="10"/>
      <c r="I21" s="10"/>
      <c r="J21" s="10"/>
      <c r="K21" s="10">
        <f>136.52+25.98</f>
        <v>162.5</v>
      </c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>
        <f>99.46+155.15</f>
        <v>254.61</v>
      </c>
      <c r="Z21" s="10"/>
      <c r="AA21" s="10"/>
      <c r="AB21" s="10"/>
      <c r="AC21" s="10"/>
      <c r="AD21" s="10"/>
      <c r="AE21" s="10"/>
      <c r="AF21" s="10"/>
      <c r="AG21" s="10"/>
      <c r="AH21" s="10"/>
      <c r="AI21" s="12"/>
    </row>
    <row r="22" spans="1:35" x14ac:dyDescent="0.2">
      <c r="A22" s="1" t="s">
        <v>12</v>
      </c>
      <c r="B22" s="6">
        <f t="array" ref="B22">SUM(D22:AH22-D23:AH23)</f>
        <v>289.45999999999998</v>
      </c>
      <c r="C22" s="3" t="s">
        <v>2</v>
      </c>
      <c r="D22" s="4">
        <v>11.45</v>
      </c>
      <c r="E22" s="4"/>
      <c r="F22" s="4">
        <v>12</v>
      </c>
      <c r="G22" s="4">
        <v>8.1999999999999993</v>
      </c>
      <c r="H22" s="4"/>
      <c r="I22" s="4">
        <v>20.8</v>
      </c>
      <c r="J22" s="4">
        <v>15</v>
      </c>
      <c r="K22" s="4">
        <v>47.2</v>
      </c>
      <c r="L22" s="4"/>
      <c r="M22" s="4">
        <v>12.4</v>
      </c>
      <c r="N22" s="4">
        <v>12.8</v>
      </c>
      <c r="O22" s="4">
        <v>17</v>
      </c>
      <c r="P22" s="4">
        <v>23.8</v>
      </c>
      <c r="Q22" s="4">
        <v>8.8000000000000007</v>
      </c>
      <c r="R22" s="4">
        <v>22.5</v>
      </c>
      <c r="S22" s="4"/>
      <c r="T22" s="4"/>
      <c r="U22" s="4">
        <v>24.15</v>
      </c>
      <c r="V22" s="4">
        <v>11.65</v>
      </c>
      <c r="W22" s="4">
        <v>12</v>
      </c>
      <c r="X22" s="4"/>
      <c r="Y22" s="4">
        <v>14.8</v>
      </c>
      <c r="Z22" s="4"/>
      <c r="AA22" s="4"/>
      <c r="AB22" s="4">
        <v>16.600000000000001</v>
      </c>
      <c r="AC22" s="4">
        <v>24.8</v>
      </c>
      <c r="AD22" s="4">
        <v>110.95</v>
      </c>
      <c r="AE22" s="4"/>
      <c r="AF22" s="4">
        <v>41.4</v>
      </c>
      <c r="AG22" s="4"/>
      <c r="AH22" s="4"/>
      <c r="AI22" s="5"/>
    </row>
    <row r="23" spans="1:35" x14ac:dyDescent="0.2">
      <c r="A23" s="7">
        <f>SUM(D22:AH22)</f>
        <v>468.30000000000007</v>
      </c>
      <c r="B23" s="8">
        <f>SUM(D23:AH23)</f>
        <v>178.84</v>
      </c>
      <c r="C23" s="9" t="s">
        <v>3</v>
      </c>
      <c r="D23" s="10"/>
      <c r="E23" s="10"/>
      <c r="F23" s="10"/>
      <c r="G23" s="10"/>
      <c r="H23" s="12"/>
      <c r="I23" s="15"/>
      <c r="J23" s="10"/>
      <c r="K23" s="10"/>
      <c r="L23" s="10"/>
      <c r="M23" s="10">
        <f>118.6+60.24</f>
        <v>178.84</v>
      </c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2"/>
    </row>
    <row r="24" spans="1:35" x14ac:dyDescent="0.2">
      <c r="A24" s="1" t="s">
        <v>13</v>
      </c>
      <c r="B24" s="6">
        <f t="array" ref="B24">SUM(D24:AH24-D25:AH25)</f>
        <v>15.259999999999991</v>
      </c>
      <c r="C24" s="3" t="s">
        <v>2</v>
      </c>
      <c r="D24" s="4"/>
      <c r="E24" s="4">
        <v>12</v>
      </c>
      <c r="F24" s="4">
        <v>8</v>
      </c>
      <c r="G24" s="4"/>
      <c r="H24" s="4">
        <v>25.1</v>
      </c>
      <c r="I24" s="4"/>
      <c r="J24" s="4">
        <v>15</v>
      </c>
      <c r="K24" s="4">
        <v>15</v>
      </c>
      <c r="L24" s="4">
        <v>15.8</v>
      </c>
      <c r="M24" s="4"/>
      <c r="N24" s="4">
        <v>8</v>
      </c>
      <c r="O24" s="4">
        <v>7.8</v>
      </c>
      <c r="P24" s="4"/>
      <c r="Q24" s="4">
        <v>8.8000000000000007</v>
      </c>
      <c r="R24" s="4">
        <v>8.4</v>
      </c>
      <c r="S24" s="4">
        <v>44</v>
      </c>
      <c r="T24" s="4">
        <v>36.4</v>
      </c>
      <c r="U24" s="4">
        <v>9.3000000000000007</v>
      </c>
      <c r="V24" s="4">
        <v>13.35</v>
      </c>
      <c r="W24" s="4"/>
      <c r="X24" s="4"/>
      <c r="Y24" s="4">
        <v>10.3</v>
      </c>
      <c r="Z24" s="4"/>
      <c r="AA24" s="4">
        <v>15.2</v>
      </c>
      <c r="AB24" s="4"/>
      <c r="AC24" s="4">
        <v>12</v>
      </c>
      <c r="AD24" s="4"/>
      <c r="AE24" s="4">
        <v>10.6</v>
      </c>
      <c r="AF24" s="4">
        <v>15.95</v>
      </c>
      <c r="AG24" s="4">
        <v>72.8</v>
      </c>
      <c r="AH24" s="4"/>
      <c r="AI24" s="5"/>
    </row>
    <row r="25" spans="1:35" x14ac:dyDescent="0.2">
      <c r="A25" s="7">
        <f>SUM(D24:AH24)</f>
        <v>363.8</v>
      </c>
      <c r="B25" s="8">
        <f>SUM(D25:AH25)</f>
        <v>348.54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>
        <f>162.33+159.21+27</f>
        <v>348.54</v>
      </c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2"/>
    </row>
    <row r="26" spans="1:35" x14ac:dyDescent="0.2">
      <c r="A26" s="1" t="s">
        <v>14</v>
      </c>
      <c r="B26" s="6">
        <f t="array" ref="B26">SUM(D26:AH26-D27:AH27)</f>
        <v>400.43999999999994</v>
      </c>
      <c r="C26" s="3" t="s">
        <v>2</v>
      </c>
      <c r="D26" s="4"/>
      <c r="E26" s="4">
        <v>22.5</v>
      </c>
      <c r="F26" s="4">
        <v>44</v>
      </c>
      <c r="G26" s="4"/>
      <c r="H26" s="4">
        <v>16.8</v>
      </c>
      <c r="I26" s="4">
        <v>48.6</v>
      </c>
      <c r="J26" s="4"/>
      <c r="K26" s="4"/>
      <c r="L26" s="4">
        <v>21.8</v>
      </c>
      <c r="M26" s="4">
        <v>28.5</v>
      </c>
      <c r="N26" s="4"/>
      <c r="O26" s="4">
        <v>8.8000000000000007</v>
      </c>
      <c r="P26" s="4">
        <v>29.2</v>
      </c>
      <c r="Q26" s="4">
        <v>48.6</v>
      </c>
      <c r="R26" s="4">
        <v>14</v>
      </c>
      <c r="S26" s="4">
        <v>12</v>
      </c>
      <c r="T26" s="4">
        <v>48.25</v>
      </c>
      <c r="U26" s="4"/>
      <c r="V26" s="4"/>
      <c r="W26" s="4">
        <v>13.4</v>
      </c>
      <c r="X26" s="4"/>
      <c r="Y26" s="4">
        <v>50</v>
      </c>
      <c r="Z26" s="4">
        <v>84.7</v>
      </c>
      <c r="AA26" s="4">
        <v>74.5</v>
      </c>
      <c r="AB26" s="4"/>
      <c r="AC26" s="4"/>
      <c r="AD26" s="4"/>
      <c r="AE26" s="4">
        <v>14.4</v>
      </c>
      <c r="AF26" s="4">
        <v>15.4</v>
      </c>
      <c r="AG26" s="4"/>
      <c r="AH26" s="4">
        <v>28.6</v>
      </c>
      <c r="AI26" s="5"/>
    </row>
    <row r="27" spans="1:35" x14ac:dyDescent="0.2">
      <c r="A27" s="7">
        <f>SUM(D26:AH26)</f>
        <v>624.04999999999995</v>
      </c>
      <c r="B27" s="8">
        <f>SUM(D27:AH27)</f>
        <v>223.61</v>
      </c>
      <c r="C27" s="9" t="s">
        <v>3</v>
      </c>
      <c r="D27" s="10"/>
      <c r="E27" s="10"/>
      <c r="F27" s="10"/>
      <c r="G27" s="10"/>
      <c r="H27" s="12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>
        <v>223.61</v>
      </c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2"/>
    </row>
    <row r="28" spans="1:35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3"/>
    </row>
    <row r="29" spans="1:35" x14ac:dyDescent="0.2">
      <c r="A29" s="1" t="s">
        <v>15</v>
      </c>
      <c r="B29" s="17">
        <f>SUMPRODUCT((D4:AH4)+(D6:AH6)+(D8:AH8)+(D10:AH10)+(D12:AH12)+(D14:AH14)+(D16:AH16)+(D18:AH18)+(D20:AH20)+(D22:AH22)+(D24:AH24)+(D26:AH26))</f>
        <v>4751.9000000000005</v>
      </c>
      <c r="C29" s="3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5"/>
    </row>
    <row r="30" spans="1:35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2482.6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5"/>
    </row>
    <row r="31" spans="1:35" x14ac:dyDescent="0.2">
      <c r="A31" s="1" t="s">
        <v>17</v>
      </c>
      <c r="B31" s="6">
        <f>B29-B30</f>
        <v>2269.3000000000006</v>
      </c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5"/>
    </row>
    <row r="32" spans="1:35" x14ac:dyDescent="0.2">
      <c r="A32" s="1"/>
      <c r="B32" s="2"/>
      <c r="C32" s="3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5"/>
    </row>
  </sheetData>
  <conditionalFormatting sqref="B31">
    <cfRule type="cellIs" dxfId="31" priority="1" stopIfTrue="1" operator="lessThanOrEqual">
      <formula>0</formula>
    </cfRule>
    <cfRule type="cellIs" dxfId="30" priority="2" stopIfTrue="1" operator="greaterThanOr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"/>
  <sheetViews>
    <sheetView workbookViewId="0">
      <selection activeCell="F15" sqref="F15"/>
    </sheetView>
  </sheetViews>
  <sheetFormatPr defaultRowHeight="12.75" x14ac:dyDescent="0.2"/>
  <cols>
    <col min="1" max="1" width="10.85546875" bestFit="1" customWidth="1"/>
    <col min="2" max="2" width="8.42578125" bestFit="1" customWidth="1"/>
    <col min="3" max="3" width="2.140625" bestFit="1" customWidth="1"/>
    <col min="4" max="4" width="6.5703125" bestFit="1" customWidth="1"/>
    <col min="5" max="5" width="5.5703125" bestFit="1" customWidth="1"/>
    <col min="6" max="14" width="6.5703125" bestFit="1" customWidth="1"/>
    <col min="15" max="15" width="5.5703125" bestFit="1" customWidth="1"/>
    <col min="16" max="19" width="6.5703125" bestFit="1" customWidth="1"/>
    <col min="20" max="20" width="5.5703125" bestFit="1" customWidth="1"/>
    <col min="21" max="26" width="6.5703125" bestFit="1" customWidth="1"/>
    <col min="27" max="28" width="5.5703125" bestFit="1" customWidth="1"/>
    <col min="29" max="30" width="6.5703125" bestFit="1" customWidth="1"/>
    <col min="31" max="31" width="5.5703125" bestFit="1" customWidth="1"/>
    <col min="32" max="32" width="6.5703125" bestFit="1" customWidth="1"/>
    <col min="33" max="34" width="5.5703125" bestFit="1" customWidth="1"/>
  </cols>
  <sheetData>
    <row r="1" spans="1:35" x14ac:dyDescent="0.2">
      <c r="A1" s="1"/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5"/>
    </row>
    <row r="2" spans="1:35" x14ac:dyDescent="0.2">
      <c r="A2" s="1">
        <v>2012</v>
      </c>
      <c r="B2" s="1" t="s">
        <v>0</v>
      </c>
      <c r="C2" s="1"/>
      <c r="D2" s="1">
        <v>1</v>
      </c>
      <c r="E2" s="1">
        <f>D2+1</f>
        <v>2</v>
      </c>
      <c r="F2" s="1">
        <f t="shared" ref="F2:AH2" si="0">E2+1</f>
        <v>3</v>
      </c>
      <c r="G2" s="1">
        <f t="shared" si="0"/>
        <v>4</v>
      </c>
      <c r="H2" s="1">
        <f t="shared" si="0"/>
        <v>5</v>
      </c>
      <c r="I2" s="1">
        <f t="shared" si="0"/>
        <v>6</v>
      </c>
      <c r="J2" s="1">
        <f t="shared" si="0"/>
        <v>7</v>
      </c>
      <c r="K2" s="1">
        <f t="shared" si="0"/>
        <v>8</v>
      </c>
      <c r="L2" s="1">
        <f t="shared" si="0"/>
        <v>9</v>
      </c>
      <c r="M2" s="1">
        <f t="shared" si="0"/>
        <v>10</v>
      </c>
      <c r="N2" s="1">
        <f t="shared" si="0"/>
        <v>11</v>
      </c>
      <c r="O2" s="1">
        <f t="shared" si="0"/>
        <v>12</v>
      </c>
      <c r="P2" s="1">
        <f t="shared" si="0"/>
        <v>13</v>
      </c>
      <c r="Q2" s="1">
        <f t="shared" si="0"/>
        <v>14</v>
      </c>
      <c r="R2" s="1">
        <f t="shared" si="0"/>
        <v>15</v>
      </c>
      <c r="S2" s="1">
        <f t="shared" si="0"/>
        <v>16</v>
      </c>
      <c r="T2" s="1">
        <f t="shared" si="0"/>
        <v>17</v>
      </c>
      <c r="U2" s="1">
        <f t="shared" si="0"/>
        <v>18</v>
      </c>
      <c r="V2" s="1">
        <f t="shared" si="0"/>
        <v>19</v>
      </c>
      <c r="W2" s="1">
        <f t="shared" si="0"/>
        <v>20</v>
      </c>
      <c r="X2" s="1">
        <f t="shared" si="0"/>
        <v>21</v>
      </c>
      <c r="Y2" s="1">
        <f t="shared" si="0"/>
        <v>22</v>
      </c>
      <c r="Z2" s="1">
        <f t="shared" si="0"/>
        <v>23</v>
      </c>
      <c r="AA2" s="1">
        <f t="shared" si="0"/>
        <v>24</v>
      </c>
      <c r="AB2" s="1">
        <f t="shared" si="0"/>
        <v>25</v>
      </c>
      <c r="AC2" s="1">
        <f t="shared" si="0"/>
        <v>26</v>
      </c>
      <c r="AD2" s="1">
        <f t="shared" si="0"/>
        <v>27</v>
      </c>
      <c r="AE2" s="1">
        <f t="shared" si="0"/>
        <v>28</v>
      </c>
      <c r="AF2" s="1">
        <f t="shared" si="0"/>
        <v>29</v>
      </c>
      <c r="AG2" s="1">
        <f t="shared" si="0"/>
        <v>30</v>
      </c>
      <c r="AH2" s="1">
        <f t="shared" si="0"/>
        <v>31</v>
      </c>
      <c r="AI2" s="1"/>
    </row>
    <row r="3" spans="1:35" x14ac:dyDescent="0.2">
      <c r="A3" s="1"/>
      <c r="B3" s="2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5"/>
    </row>
    <row r="4" spans="1:35" x14ac:dyDescent="0.2">
      <c r="A4" s="1" t="s">
        <v>1</v>
      </c>
      <c r="B4" s="6">
        <f t="array" ref="B4">SUM(D4:AH4-D5:AH5)</f>
        <v>437.84999999999997</v>
      </c>
      <c r="C4" s="3" t="s">
        <v>2</v>
      </c>
      <c r="D4" s="4"/>
      <c r="E4" s="4"/>
      <c r="F4" s="4">
        <v>74.8</v>
      </c>
      <c r="G4" s="4">
        <v>11.5</v>
      </c>
      <c r="H4" s="4">
        <v>8.1999999999999993</v>
      </c>
      <c r="I4" s="4"/>
      <c r="J4" s="4"/>
      <c r="K4" s="4"/>
      <c r="L4" s="4"/>
      <c r="M4" s="4">
        <v>49.1</v>
      </c>
      <c r="N4" s="4">
        <v>31.9</v>
      </c>
      <c r="O4" s="4">
        <v>45.5</v>
      </c>
      <c r="P4" s="4">
        <v>14</v>
      </c>
      <c r="Q4" s="4">
        <v>26.9</v>
      </c>
      <c r="R4" s="4"/>
      <c r="S4" s="4"/>
      <c r="T4" s="4">
        <v>14</v>
      </c>
      <c r="U4" s="4">
        <v>10</v>
      </c>
      <c r="V4" s="4"/>
      <c r="W4" s="4">
        <v>12.5</v>
      </c>
      <c r="X4" s="4">
        <v>11.1</v>
      </c>
      <c r="Y4" s="4"/>
      <c r="Z4" s="4"/>
      <c r="AA4" s="4">
        <v>15.8</v>
      </c>
      <c r="AB4" s="4">
        <v>13.8</v>
      </c>
      <c r="AC4" s="4">
        <v>13.8</v>
      </c>
      <c r="AD4" s="4">
        <v>12.9</v>
      </c>
      <c r="AE4" s="4">
        <v>49.65</v>
      </c>
      <c r="AF4" s="4"/>
      <c r="AG4" s="4">
        <v>12</v>
      </c>
      <c r="AH4" s="4">
        <v>10.4</v>
      </c>
      <c r="AI4" s="5"/>
    </row>
    <row r="5" spans="1:35" x14ac:dyDescent="0.2">
      <c r="A5" s="7">
        <f>SUM(D4:AH4)</f>
        <v>437.84999999999997</v>
      </c>
      <c r="B5" s="8">
        <f>SUM(D5:AH5)</f>
        <v>0</v>
      </c>
      <c r="C5" s="9" t="s">
        <v>3</v>
      </c>
      <c r="D5" s="10"/>
      <c r="E5" s="10"/>
      <c r="F5" s="11"/>
      <c r="G5" s="10"/>
      <c r="H5" s="10"/>
      <c r="I5" s="10"/>
      <c r="J5" s="10"/>
      <c r="K5" s="10"/>
      <c r="L5" s="12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2"/>
    </row>
    <row r="6" spans="1:35" x14ac:dyDescent="0.2">
      <c r="A6" s="1" t="s">
        <v>4</v>
      </c>
      <c r="B6" s="6">
        <f t="array" ref="B6">SUM(D6:AH6-D7:AH7)</f>
        <v>-66.939999999999984</v>
      </c>
      <c r="C6" s="3" t="s">
        <v>2</v>
      </c>
      <c r="D6" s="4"/>
      <c r="E6" s="4">
        <v>13</v>
      </c>
      <c r="F6" s="4">
        <v>9.6999999999999993</v>
      </c>
      <c r="G6" s="4">
        <v>23.4</v>
      </c>
      <c r="H6" s="4"/>
      <c r="I6" s="4">
        <v>6.2</v>
      </c>
      <c r="J6" s="4">
        <v>29</v>
      </c>
      <c r="K6" s="4">
        <v>13.1</v>
      </c>
      <c r="L6" s="4">
        <v>6</v>
      </c>
      <c r="M6" s="4">
        <v>47.8</v>
      </c>
      <c r="N6" s="4">
        <v>8.1999999999999993</v>
      </c>
      <c r="O6" s="4"/>
      <c r="P6" s="4"/>
      <c r="Q6" s="4">
        <v>20.3</v>
      </c>
      <c r="R6" s="4">
        <v>15.6</v>
      </c>
      <c r="S6" s="4"/>
      <c r="T6" s="4">
        <v>4.2</v>
      </c>
      <c r="U6" s="4">
        <v>10.6</v>
      </c>
      <c r="V6" s="4"/>
      <c r="W6" s="4">
        <v>7</v>
      </c>
      <c r="X6" s="4">
        <v>16.399999999999999</v>
      </c>
      <c r="Y6" s="4">
        <v>12.6</v>
      </c>
      <c r="Z6" s="4">
        <v>37</v>
      </c>
      <c r="AA6" s="4">
        <v>57.8</v>
      </c>
      <c r="AB6" s="4">
        <v>6.4</v>
      </c>
      <c r="AC6" s="4"/>
      <c r="AD6" s="4">
        <v>3</v>
      </c>
      <c r="AE6" s="4">
        <v>14.9</v>
      </c>
      <c r="AF6" s="4">
        <v>3.4</v>
      </c>
      <c r="AG6" s="4"/>
      <c r="AH6" s="4"/>
      <c r="AI6" s="5"/>
    </row>
    <row r="7" spans="1:35" x14ac:dyDescent="0.2">
      <c r="A7" s="7">
        <f>SUM(D6:AH6)</f>
        <v>365.59999999999991</v>
      </c>
      <c r="B7" s="8">
        <f>SUM(D7:AH7)</f>
        <v>432.53999999999996</v>
      </c>
      <c r="C7" s="9" t="s">
        <v>3</v>
      </c>
      <c r="D7" s="10"/>
      <c r="E7" s="10"/>
      <c r="F7" s="10"/>
      <c r="G7" s="10"/>
      <c r="H7" s="13"/>
      <c r="I7" s="10"/>
      <c r="J7" s="10"/>
      <c r="K7" s="10"/>
      <c r="L7" s="10"/>
      <c r="M7" s="10"/>
      <c r="N7" s="10"/>
      <c r="O7" s="10"/>
      <c r="P7" s="10">
        <f>286.7+120.64+25.2</f>
        <v>432.53999999999996</v>
      </c>
      <c r="Q7" s="10"/>
      <c r="R7" s="10"/>
      <c r="S7" s="11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2"/>
    </row>
    <row r="8" spans="1:35" x14ac:dyDescent="0.2">
      <c r="A8" s="1" t="s">
        <v>5</v>
      </c>
      <c r="B8" s="6">
        <f t="array" ref="B8">SUM(D8:AH8-D9:AH9)</f>
        <v>234.39999999999998</v>
      </c>
      <c r="C8" s="3" t="s">
        <v>2</v>
      </c>
      <c r="D8" s="4"/>
      <c r="E8" s="4">
        <v>17.2</v>
      </c>
      <c r="F8" s="4">
        <v>15.1</v>
      </c>
      <c r="G8" s="4"/>
      <c r="H8" s="4"/>
      <c r="I8" s="4">
        <v>13.8</v>
      </c>
      <c r="J8" s="4">
        <v>45.8</v>
      </c>
      <c r="K8" s="4">
        <v>7</v>
      </c>
      <c r="L8" s="4">
        <v>32.549999999999997</v>
      </c>
      <c r="M8" s="4">
        <v>26.85</v>
      </c>
      <c r="N8" s="4"/>
      <c r="O8" s="4">
        <v>15.9</v>
      </c>
      <c r="P8" s="4">
        <v>30</v>
      </c>
      <c r="Q8" s="4"/>
      <c r="R8" s="4">
        <v>14.4</v>
      </c>
      <c r="S8" s="4">
        <v>24</v>
      </c>
      <c r="T8" s="4">
        <v>29</v>
      </c>
      <c r="U8" s="4"/>
      <c r="V8" s="4">
        <v>14</v>
      </c>
      <c r="W8" s="4">
        <v>7.7</v>
      </c>
      <c r="X8" s="4"/>
      <c r="Y8" s="4"/>
      <c r="Z8" s="4"/>
      <c r="AA8" s="4"/>
      <c r="AB8" s="4"/>
      <c r="AC8" s="4"/>
      <c r="AD8" s="4"/>
      <c r="AE8" s="4">
        <v>42.4</v>
      </c>
      <c r="AF8" s="4">
        <v>9.6</v>
      </c>
      <c r="AG8" s="4"/>
      <c r="AH8" s="4">
        <v>17.100000000000001</v>
      </c>
      <c r="AI8" s="5"/>
    </row>
    <row r="9" spans="1:35" x14ac:dyDescent="0.2">
      <c r="A9" s="7">
        <f>SUM(D8:AH8)</f>
        <v>362.40000000000003</v>
      </c>
      <c r="B9" s="8">
        <f>SUM(D9:AH9)</f>
        <v>128</v>
      </c>
      <c r="C9" s="9" t="s">
        <v>3</v>
      </c>
      <c r="D9" s="10"/>
      <c r="E9" s="10"/>
      <c r="F9" s="10"/>
      <c r="G9" s="10"/>
      <c r="H9" s="22">
        <v>128</v>
      </c>
      <c r="I9" s="10"/>
      <c r="J9" s="10"/>
      <c r="K9" s="10"/>
      <c r="L9" s="10"/>
      <c r="M9" s="11"/>
      <c r="N9" s="10"/>
      <c r="O9" s="10"/>
      <c r="P9" s="10"/>
      <c r="Q9" s="10"/>
      <c r="R9" s="14"/>
      <c r="S9" s="11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2"/>
    </row>
    <row r="10" spans="1:35" x14ac:dyDescent="0.2">
      <c r="A10" s="1" t="s">
        <v>6</v>
      </c>
      <c r="B10" s="6">
        <f t="array" ref="B10">SUM(D10:AH10-D11:AH11)</f>
        <v>41.600000000000009</v>
      </c>
      <c r="C10" s="3" t="s">
        <v>2</v>
      </c>
      <c r="D10" s="4"/>
      <c r="E10" s="4"/>
      <c r="F10" s="4">
        <v>17.2</v>
      </c>
      <c r="G10" s="4"/>
      <c r="H10" s="4">
        <v>73</v>
      </c>
      <c r="I10" s="4">
        <v>19.3</v>
      </c>
      <c r="J10" s="4">
        <v>10.5</v>
      </c>
      <c r="K10" s="4"/>
      <c r="L10" s="4"/>
      <c r="M10" s="4">
        <v>8.1999999999999993</v>
      </c>
      <c r="N10" s="4"/>
      <c r="O10" s="4">
        <v>10.5</v>
      </c>
      <c r="P10" s="4"/>
      <c r="Q10" s="4">
        <v>12</v>
      </c>
      <c r="R10" s="4"/>
      <c r="S10" s="4"/>
      <c r="T10" s="4">
        <v>5</v>
      </c>
      <c r="U10" s="4">
        <v>12</v>
      </c>
      <c r="V10" s="4">
        <v>10.8</v>
      </c>
      <c r="W10" s="4"/>
      <c r="X10" s="4">
        <v>11.4</v>
      </c>
      <c r="Y10" s="4"/>
      <c r="Z10" s="4"/>
      <c r="AA10" s="4">
        <v>41.7</v>
      </c>
      <c r="AB10" s="4"/>
      <c r="AC10" s="4">
        <v>25.2</v>
      </c>
      <c r="AD10" s="4"/>
      <c r="AE10" s="4">
        <v>18.5</v>
      </c>
      <c r="AF10" s="4"/>
      <c r="AG10" s="4"/>
      <c r="AH10" s="4"/>
      <c r="AI10" s="5"/>
    </row>
    <row r="11" spans="1:35" x14ac:dyDescent="0.2">
      <c r="A11" s="7">
        <f>SUM(D10:AH10)</f>
        <v>275.3</v>
      </c>
      <c r="B11" s="8">
        <f>SUM(D11:AH11)</f>
        <v>233.7</v>
      </c>
      <c r="C11" s="9" t="s">
        <v>3</v>
      </c>
      <c r="D11" s="1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21">
        <v>233.7</v>
      </c>
      <c r="W11" s="10"/>
      <c r="X11" s="10"/>
      <c r="Y11" s="10"/>
      <c r="Z11" s="10"/>
      <c r="AA11" s="10"/>
      <c r="AB11" s="10"/>
      <c r="AC11" s="10"/>
      <c r="AD11" s="10"/>
      <c r="AE11" s="10"/>
      <c r="AF11" s="11"/>
      <c r="AG11" s="10"/>
      <c r="AH11" s="10"/>
      <c r="AI11" s="12"/>
    </row>
    <row r="12" spans="1:35" x14ac:dyDescent="0.2">
      <c r="A12" s="1" t="s">
        <v>7</v>
      </c>
      <c r="B12" s="6">
        <f t="array" ref="B12">SUM(D12:AH12-D13:AH13)</f>
        <v>276.89999999999998</v>
      </c>
      <c r="C12" s="3" t="s">
        <v>2</v>
      </c>
      <c r="D12" s="4"/>
      <c r="E12" s="4">
        <v>17.8</v>
      </c>
      <c r="F12" s="4">
        <v>35.700000000000003</v>
      </c>
      <c r="G12" s="4">
        <v>9</v>
      </c>
      <c r="H12" s="4">
        <v>41.75</v>
      </c>
      <c r="I12" s="4"/>
      <c r="J12" s="4"/>
      <c r="K12" s="4">
        <v>8.6</v>
      </c>
      <c r="L12" s="4">
        <v>12.4</v>
      </c>
      <c r="M12" s="4">
        <v>9.6</v>
      </c>
      <c r="N12" s="4"/>
      <c r="O12" s="4">
        <v>6.6</v>
      </c>
      <c r="P12" s="4"/>
      <c r="Q12" s="4"/>
      <c r="R12" s="4">
        <v>160.75</v>
      </c>
      <c r="S12" s="4"/>
      <c r="T12" s="4">
        <v>9.8000000000000007</v>
      </c>
      <c r="U12" s="4">
        <v>8.4</v>
      </c>
      <c r="V12" s="4">
        <v>10</v>
      </c>
      <c r="W12" s="4"/>
      <c r="X12" s="4">
        <v>29.5</v>
      </c>
      <c r="Y12" s="4">
        <v>5.6</v>
      </c>
      <c r="Z12" s="4"/>
      <c r="AA12" s="4"/>
      <c r="AB12" s="4"/>
      <c r="AC12" s="4">
        <v>8.6</v>
      </c>
      <c r="AD12" s="4"/>
      <c r="AE12" s="4"/>
      <c r="AF12" s="4"/>
      <c r="AG12" s="4">
        <v>32.799999999999997</v>
      </c>
      <c r="AH12" s="4">
        <v>3</v>
      </c>
      <c r="AI12" s="5"/>
    </row>
    <row r="13" spans="1:35" x14ac:dyDescent="0.2">
      <c r="A13" s="7">
        <f>SUM(D12:AH12)</f>
        <v>409.90000000000003</v>
      </c>
      <c r="B13" s="8">
        <f>SUM(D13:AH13)</f>
        <v>133</v>
      </c>
      <c r="C13" s="9" t="s">
        <v>3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>
        <f>57.86+75.14</f>
        <v>133</v>
      </c>
      <c r="V13" s="10"/>
      <c r="W13" s="10"/>
      <c r="X13" s="10"/>
      <c r="Y13" s="10"/>
      <c r="Z13" s="11"/>
      <c r="AA13" s="10"/>
      <c r="AB13" s="10"/>
      <c r="AC13" s="10"/>
      <c r="AD13" s="10"/>
      <c r="AE13" s="10"/>
      <c r="AF13" s="10"/>
      <c r="AG13" s="10"/>
      <c r="AH13" s="10"/>
      <c r="AI13" s="12"/>
    </row>
    <row r="14" spans="1:35" x14ac:dyDescent="0.2">
      <c r="A14" s="1" t="s">
        <v>8</v>
      </c>
      <c r="B14" s="6">
        <f t="array" ref="B14">SUM(D14:AH14-D15:AH15)</f>
        <v>300.64999999999998</v>
      </c>
      <c r="C14" s="3" t="s">
        <v>2</v>
      </c>
      <c r="D14" s="4">
        <v>13.8</v>
      </c>
      <c r="E14" s="4"/>
      <c r="F14" s="4"/>
      <c r="G14" s="4"/>
      <c r="H14" s="4">
        <v>14.8</v>
      </c>
      <c r="I14" s="4">
        <v>52.45</v>
      </c>
      <c r="J14" s="4"/>
      <c r="K14" s="4">
        <v>8.1999999999999993</v>
      </c>
      <c r="L14" s="4">
        <v>30.8</v>
      </c>
      <c r="M14" s="4"/>
      <c r="N14" s="4">
        <v>20.3</v>
      </c>
      <c r="O14" s="4">
        <v>16.8</v>
      </c>
      <c r="P14" s="4"/>
      <c r="Q14" s="4">
        <v>18</v>
      </c>
      <c r="R14" s="4">
        <v>6.8</v>
      </c>
      <c r="S14" s="4">
        <v>24.6</v>
      </c>
      <c r="T14" s="4"/>
      <c r="U14" s="4"/>
      <c r="V14" s="4"/>
      <c r="W14" s="4">
        <v>11.2</v>
      </c>
      <c r="X14" s="4">
        <v>10.8</v>
      </c>
      <c r="Y14" s="4">
        <v>13.2</v>
      </c>
      <c r="Z14" s="4">
        <v>8.4</v>
      </c>
      <c r="AA14" s="4"/>
      <c r="AB14" s="4"/>
      <c r="AC14" s="4"/>
      <c r="AD14" s="4">
        <v>13.4</v>
      </c>
      <c r="AE14" s="4"/>
      <c r="AF14" s="4">
        <v>27.9</v>
      </c>
      <c r="AG14" s="4">
        <v>9.1999999999999993</v>
      </c>
      <c r="AH14" s="4"/>
      <c r="AI14" s="5"/>
    </row>
    <row r="15" spans="1:35" x14ac:dyDescent="0.2">
      <c r="A15" s="7">
        <f>SUM(D14:AH14)</f>
        <v>300.64999999999998</v>
      </c>
      <c r="B15" s="8">
        <f>SUM(D15:AH15)</f>
        <v>0</v>
      </c>
      <c r="C15" s="9" t="s">
        <v>3</v>
      </c>
      <c r="D15" s="10"/>
      <c r="E15" s="10"/>
      <c r="F15" s="10"/>
      <c r="G15" s="10"/>
      <c r="H15" s="10"/>
      <c r="I15" s="10"/>
      <c r="J15" s="10"/>
      <c r="K15" s="10"/>
      <c r="L15" s="10"/>
      <c r="M15" s="13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2"/>
    </row>
    <row r="16" spans="1:35" x14ac:dyDescent="0.2">
      <c r="A16" s="1" t="s">
        <v>9</v>
      </c>
      <c r="B16" s="6">
        <f t="array" ref="B16">SUM(D16:AH16-D17:AH17)</f>
        <v>256.85000000000002</v>
      </c>
      <c r="C16" s="3" t="s">
        <v>2</v>
      </c>
      <c r="D16" s="4"/>
      <c r="E16" s="4"/>
      <c r="F16" s="4">
        <v>11</v>
      </c>
      <c r="G16" s="4">
        <v>21</v>
      </c>
      <c r="H16" s="4"/>
      <c r="I16" s="4"/>
      <c r="J16" s="4">
        <v>13.6</v>
      </c>
      <c r="K16" s="4"/>
      <c r="L16" s="4"/>
      <c r="M16" s="4">
        <v>13.35</v>
      </c>
      <c r="N16" s="4"/>
      <c r="O16" s="4">
        <v>15</v>
      </c>
      <c r="P16" s="4">
        <v>8</v>
      </c>
      <c r="Q16" s="4"/>
      <c r="R16" s="4"/>
      <c r="S16" s="4">
        <v>63.7</v>
      </c>
      <c r="T16" s="4">
        <v>8.4</v>
      </c>
      <c r="U16" s="4">
        <v>16.8</v>
      </c>
      <c r="V16" s="4">
        <v>12</v>
      </c>
      <c r="W16" s="4">
        <v>9.6</v>
      </c>
      <c r="X16" s="4">
        <v>8.5</v>
      </c>
      <c r="Y16" s="4"/>
      <c r="Z16" s="4"/>
      <c r="AA16" s="4">
        <v>10.9</v>
      </c>
      <c r="AB16" s="4"/>
      <c r="AC16" s="4">
        <v>20.399999999999999</v>
      </c>
      <c r="AD16" s="4">
        <v>8.4</v>
      </c>
      <c r="AE16" s="4">
        <v>7.6</v>
      </c>
      <c r="AF16" s="4"/>
      <c r="AG16" s="4"/>
      <c r="AH16" s="4">
        <v>8.6</v>
      </c>
      <c r="AI16" s="5"/>
    </row>
    <row r="17" spans="1:35" x14ac:dyDescent="0.2">
      <c r="A17" s="7">
        <f>SUM(D16:AH16)</f>
        <v>256.85000000000002</v>
      </c>
      <c r="B17" s="8">
        <f>SUM(D17:AH17)</f>
        <v>0</v>
      </c>
      <c r="C17" s="9" t="s">
        <v>3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2"/>
    </row>
    <row r="18" spans="1:35" x14ac:dyDescent="0.2">
      <c r="A18" s="1" t="s">
        <v>10</v>
      </c>
      <c r="B18" s="6">
        <f t="array" ref="B18">SUM(D18:AH18-D19:AH19)</f>
        <v>0</v>
      </c>
      <c r="C18" s="3" t="s">
        <v>2</v>
      </c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5"/>
    </row>
    <row r="19" spans="1:35" x14ac:dyDescent="0.2">
      <c r="A19" s="7">
        <f>SUM(D18:AH18)</f>
        <v>0</v>
      </c>
      <c r="B19" s="8">
        <f>SUM(D19:AH19)</f>
        <v>0</v>
      </c>
      <c r="C19" s="9" t="s">
        <v>3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2"/>
    </row>
    <row r="20" spans="1:35" x14ac:dyDescent="0.2">
      <c r="A20" s="1" t="s">
        <v>11</v>
      </c>
      <c r="B20" s="6">
        <f t="array" ref="B20">SUM(D20:AH20-D21:AH21)</f>
        <v>153.84</v>
      </c>
      <c r="C20" s="3" t="s">
        <v>2</v>
      </c>
      <c r="D20" s="4"/>
      <c r="E20" s="4"/>
      <c r="F20" s="4"/>
      <c r="G20" s="4">
        <v>23</v>
      </c>
      <c r="H20" s="4">
        <v>51.4</v>
      </c>
      <c r="I20" s="4"/>
      <c r="J20" s="4">
        <v>34.799999999999997</v>
      </c>
      <c r="K20" s="4"/>
      <c r="L20" s="4"/>
      <c r="M20" s="4">
        <v>15</v>
      </c>
      <c r="N20" s="4">
        <v>12.4</v>
      </c>
      <c r="O20" s="4"/>
      <c r="P20" s="4"/>
      <c r="Q20" s="4">
        <v>35.4</v>
      </c>
      <c r="R20" s="4">
        <v>46.7</v>
      </c>
      <c r="S20" s="4"/>
      <c r="T20" s="4"/>
      <c r="U20" s="4">
        <v>7</v>
      </c>
      <c r="V20" s="4">
        <v>20</v>
      </c>
      <c r="W20" s="4">
        <v>18.8</v>
      </c>
      <c r="X20" s="4">
        <v>14.7</v>
      </c>
      <c r="Y20" s="4">
        <v>13.2</v>
      </c>
      <c r="Z20" s="4"/>
      <c r="AA20" s="4"/>
      <c r="AB20" s="4">
        <v>18.399999999999999</v>
      </c>
      <c r="AC20" s="4">
        <v>15.7</v>
      </c>
      <c r="AD20" s="4">
        <v>9</v>
      </c>
      <c r="AE20" s="4">
        <v>21.7</v>
      </c>
      <c r="AF20" s="4">
        <v>30</v>
      </c>
      <c r="AG20" s="4"/>
      <c r="AH20" s="4"/>
      <c r="AI20" s="5"/>
    </row>
    <row r="21" spans="1:35" x14ac:dyDescent="0.2">
      <c r="A21" s="7">
        <f>SUM(D20:AH20)</f>
        <v>387.19999999999993</v>
      </c>
      <c r="B21" s="8">
        <f>SUM(D21:AH21)</f>
        <v>233.36</v>
      </c>
      <c r="C21" s="9" t="s">
        <v>3</v>
      </c>
      <c r="D21" s="10"/>
      <c r="E21" s="10"/>
      <c r="F21" s="10">
        <v>233.36</v>
      </c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2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2"/>
    </row>
    <row r="22" spans="1:35" x14ac:dyDescent="0.2">
      <c r="A22" s="1" t="s">
        <v>12</v>
      </c>
      <c r="B22" s="6">
        <f t="array" ref="B22">SUM(D22:AH22-D23:AH23)</f>
        <v>-7.1299999999999351</v>
      </c>
      <c r="C22" s="3" t="s">
        <v>2</v>
      </c>
      <c r="D22" s="4">
        <v>8</v>
      </c>
      <c r="E22" s="4">
        <v>7.8</v>
      </c>
      <c r="F22" s="4">
        <v>11.1</v>
      </c>
      <c r="G22" s="4">
        <v>6.5</v>
      </c>
      <c r="H22" s="4">
        <v>22.6</v>
      </c>
      <c r="I22" s="4">
        <v>12.8</v>
      </c>
      <c r="J22" s="4"/>
      <c r="K22" s="4"/>
      <c r="L22" s="4">
        <v>41.3</v>
      </c>
      <c r="M22" s="4">
        <v>9</v>
      </c>
      <c r="N22" s="4">
        <v>22.1</v>
      </c>
      <c r="O22" s="4">
        <v>22</v>
      </c>
      <c r="P22" s="4">
        <v>15.6</v>
      </c>
      <c r="Q22" s="4"/>
      <c r="R22" s="4"/>
      <c r="S22" s="4">
        <v>12.4</v>
      </c>
      <c r="T22" s="4">
        <v>82.1</v>
      </c>
      <c r="U22" s="4"/>
      <c r="V22" s="4">
        <v>12.2</v>
      </c>
      <c r="W22" s="4">
        <v>9.6</v>
      </c>
      <c r="X22" s="4"/>
      <c r="Y22" s="4"/>
      <c r="Z22" s="4">
        <v>45</v>
      </c>
      <c r="AA22" s="4"/>
      <c r="AB22" s="4">
        <v>33.549999999999997</v>
      </c>
      <c r="AC22" s="4">
        <v>27</v>
      </c>
      <c r="AD22" s="4"/>
      <c r="AE22" s="4"/>
      <c r="AF22" s="4"/>
      <c r="AG22" s="4">
        <v>20</v>
      </c>
      <c r="AH22" s="4">
        <v>14.3</v>
      </c>
      <c r="AI22" s="5"/>
    </row>
    <row r="23" spans="1:35" x14ac:dyDescent="0.2">
      <c r="A23" s="7">
        <f>SUM(D22:AH22)</f>
        <v>434.95</v>
      </c>
      <c r="B23" s="8">
        <f>SUM(D23:AH23)</f>
        <v>442.08</v>
      </c>
      <c r="C23" s="9" t="s">
        <v>3</v>
      </c>
      <c r="D23" s="10"/>
      <c r="E23" s="10"/>
      <c r="F23" s="10"/>
      <c r="G23" s="10"/>
      <c r="H23" s="12"/>
      <c r="I23" s="15"/>
      <c r="J23" s="10"/>
      <c r="K23" s="10">
        <f>206.04+165.46+70.58</f>
        <v>442.08</v>
      </c>
      <c r="L23" s="10"/>
      <c r="M23" s="10"/>
      <c r="N23" s="10"/>
      <c r="O23" s="10"/>
      <c r="P23" s="10"/>
      <c r="Q23" s="11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2"/>
    </row>
    <row r="24" spans="1:35" x14ac:dyDescent="0.2">
      <c r="A24" s="1" t="s">
        <v>13</v>
      </c>
      <c r="B24" s="6">
        <f t="array" ref="B24">SUM(D24:AH24-D25:AH25)</f>
        <v>243.46999999999997</v>
      </c>
      <c r="C24" s="3" t="s">
        <v>2</v>
      </c>
      <c r="D24" s="4"/>
      <c r="E24" s="4">
        <v>15.6</v>
      </c>
      <c r="F24" s="4">
        <v>11.5</v>
      </c>
      <c r="G24" s="4"/>
      <c r="H24" s="4"/>
      <c r="I24" s="4"/>
      <c r="J24" s="4">
        <v>13.62</v>
      </c>
      <c r="K24" s="4"/>
      <c r="L24" s="4"/>
      <c r="M24" s="4">
        <v>16.100000000000001</v>
      </c>
      <c r="N24" s="4"/>
      <c r="O24" s="4">
        <v>8.4</v>
      </c>
      <c r="P24" s="4">
        <v>20.5</v>
      </c>
      <c r="Q24" s="4"/>
      <c r="R24" s="4">
        <v>28.2</v>
      </c>
      <c r="S24" s="4">
        <v>31.9</v>
      </c>
      <c r="T24" s="4">
        <v>8.8000000000000007</v>
      </c>
      <c r="U24" s="4"/>
      <c r="V24" s="4"/>
      <c r="W24" s="4">
        <v>8.1999999999999993</v>
      </c>
      <c r="X24" s="4"/>
      <c r="Y24" s="4">
        <v>33.75</v>
      </c>
      <c r="Z24" s="4">
        <v>9.4</v>
      </c>
      <c r="AA24" s="4">
        <v>21.7</v>
      </c>
      <c r="AB24" s="4"/>
      <c r="AC24" s="4">
        <v>7.2</v>
      </c>
      <c r="AD24" s="4"/>
      <c r="AE24" s="4"/>
      <c r="AF24" s="4"/>
      <c r="AG24" s="4">
        <v>8.6</v>
      </c>
      <c r="AH24" s="4"/>
      <c r="AI24" s="5"/>
    </row>
    <row r="25" spans="1:35" x14ac:dyDescent="0.2">
      <c r="A25" s="7">
        <f>SUM(D24:AH24)</f>
        <v>243.46999999999997</v>
      </c>
      <c r="B25" s="8">
        <f>SUM(D25:AH25)</f>
        <v>0</v>
      </c>
      <c r="C25" s="9" t="s">
        <v>3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2"/>
    </row>
    <row r="26" spans="1:35" x14ac:dyDescent="0.2">
      <c r="A26" s="1" t="s">
        <v>14</v>
      </c>
      <c r="B26" s="6">
        <f t="array" ref="B26">SUM(D26:AH26-D27:AH27)</f>
        <v>245.63000000000005</v>
      </c>
      <c r="C26" s="3" t="s">
        <v>2</v>
      </c>
      <c r="D26" s="4">
        <v>22</v>
      </c>
      <c r="E26" s="4"/>
      <c r="F26" s="4">
        <v>138.30000000000001</v>
      </c>
      <c r="G26" s="4">
        <v>42.7</v>
      </c>
      <c r="H26" s="4">
        <v>27.6</v>
      </c>
      <c r="I26" s="4">
        <v>12.8</v>
      </c>
      <c r="J26" s="4">
        <v>114.2</v>
      </c>
      <c r="K26" s="4"/>
      <c r="L26" s="4"/>
      <c r="M26" s="4">
        <v>6.6</v>
      </c>
      <c r="N26" s="4">
        <v>10.199999999999999</v>
      </c>
      <c r="O26" s="4">
        <v>26.4</v>
      </c>
      <c r="P26" s="4"/>
      <c r="Q26" s="4">
        <v>86.4</v>
      </c>
      <c r="R26" s="4">
        <v>37.299999999999997</v>
      </c>
      <c r="S26" s="4"/>
      <c r="T26" s="4"/>
      <c r="U26" s="4">
        <v>29.5</v>
      </c>
      <c r="V26" s="4">
        <v>14.2</v>
      </c>
      <c r="W26" s="4">
        <v>22.2</v>
      </c>
      <c r="X26" s="4">
        <v>5.8</v>
      </c>
      <c r="Y26" s="4">
        <v>41</v>
      </c>
      <c r="Z26" s="4"/>
      <c r="AA26" s="4"/>
      <c r="AB26" s="4"/>
      <c r="AC26" s="4"/>
      <c r="AD26" s="4">
        <v>13.5</v>
      </c>
      <c r="AE26" s="4">
        <v>36</v>
      </c>
      <c r="AF26" s="4">
        <v>19.399999999999999</v>
      </c>
      <c r="AG26" s="4"/>
      <c r="AH26" s="4"/>
      <c r="AI26" s="5"/>
    </row>
    <row r="27" spans="1:35" x14ac:dyDescent="0.2">
      <c r="A27" s="7">
        <f>SUM(D26:AH26)</f>
        <v>706.1</v>
      </c>
      <c r="B27" s="8">
        <f>SUM(D27:AH27)</f>
        <v>460.46999999999997</v>
      </c>
      <c r="C27" s="9" t="s">
        <v>3</v>
      </c>
      <c r="D27" s="10"/>
      <c r="E27" s="10"/>
      <c r="F27" s="10">
        <f>267.58+137.18+55.71</f>
        <v>460.46999999999997</v>
      </c>
      <c r="G27" s="10"/>
      <c r="H27" s="12"/>
      <c r="I27" s="11"/>
      <c r="J27" s="10"/>
      <c r="K27" s="10"/>
      <c r="L27" s="10"/>
      <c r="M27" s="10"/>
      <c r="N27" s="10"/>
      <c r="O27" s="10"/>
      <c r="P27" s="10"/>
      <c r="Q27" s="10"/>
      <c r="R27" s="10"/>
      <c r="S27" s="11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2"/>
    </row>
    <row r="28" spans="1:35" x14ac:dyDescent="0.2">
      <c r="A28" s="1"/>
      <c r="B28" s="1"/>
      <c r="C28" s="3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3"/>
    </row>
    <row r="29" spans="1:35" x14ac:dyDescent="0.2">
      <c r="A29" s="1" t="s">
        <v>15</v>
      </c>
      <c r="B29" s="17">
        <f>SUMPRODUCT((D4:AH4)+(D6:AH6)+(D8:AH8)+(D10:AH10)+(D12:AH12)+(D14:AH14)+(D16:AH16)+(D18:AH18)+(D20:AH20)+(D22:AH22)+(D24:AH24)+(D26:AH26))</f>
        <v>4180.2700000000004</v>
      </c>
      <c r="C29" s="3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5"/>
    </row>
    <row r="30" spans="1:35" x14ac:dyDescent="0.2">
      <c r="A30" s="1" t="s">
        <v>16</v>
      </c>
      <c r="B30" s="8">
        <f t="array" ref="B30">SUM((D5:AH5)+(D7:AH7)+(D9:AH9)+(D11:AH11)+(D13:AH13)+(D15:AH15)+(D17:AH17)+(D19:AH19)+(D21:AH21)+(D23:AH23)+(D25:AH25)+(D27:AH27))</f>
        <v>2063.1499999999996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5"/>
    </row>
    <row r="31" spans="1:35" x14ac:dyDescent="0.2">
      <c r="A31" s="1" t="s">
        <v>17</v>
      </c>
      <c r="B31" s="6">
        <f>B29-B30</f>
        <v>2117.1200000000008</v>
      </c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5"/>
    </row>
    <row r="32" spans="1:35" x14ac:dyDescent="0.2">
      <c r="A32" s="1"/>
      <c r="B32" s="2"/>
      <c r="C32" s="3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5"/>
    </row>
  </sheetData>
  <phoneticPr fontId="0" type="noConversion"/>
  <conditionalFormatting sqref="B31">
    <cfRule type="cellIs" dxfId="29" priority="1" stopIfTrue="1" operator="lessThanOrEqual">
      <formula>0</formula>
    </cfRule>
    <cfRule type="cellIs" dxfId="28" priority="2" stopIfTrue="1" operator="greaterThanOrEqual">
      <formula>0</formula>
    </cfRule>
  </conditionalFormatting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22</vt:i4>
      </vt:variant>
    </vt:vector>
  </HeadingPairs>
  <TitlesOfParts>
    <vt:vector size="22" baseType="lpstr"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IVA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</dc:creator>
  <cp:lastModifiedBy>Mario</cp:lastModifiedBy>
  <dcterms:created xsi:type="dcterms:W3CDTF">2005-12-31T10:39:08Z</dcterms:created>
  <dcterms:modified xsi:type="dcterms:W3CDTF">2024-06-20T07:39:07Z</dcterms:modified>
</cp:coreProperties>
</file>