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15195" windowHeight="8700" tabRatio="673"/>
  </bookViews>
  <sheets>
    <sheet name="2223" sheetId="20" r:id="rId1"/>
    <sheet name="2122" sheetId="19" r:id="rId2"/>
    <sheet name="2021" sheetId="18" r:id="rId3"/>
    <sheet name="1920" sheetId="17" r:id="rId4"/>
    <sheet name="1819" sheetId="16" r:id="rId5"/>
    <sheet name="1718" sheetId="15" r:id="rId6"/>
    <sheet name="1617" sheetId="14" r:id="rId7"/>
    <sheet name="1516" sheetId="13" r:id="rId8"/>
    <sheet name="1415" sheetId="9" r:id="rId9"/>
    <sheet name="1314" sheetId="11" r:id="rId10"/>
    <sheet name="1213" sheetId="12" r:id="rId11"/>
    <sheet name="1112" sheetId="10" r:id="rId12"/>
    <sheet name="1011" sheetId="5" r:id="rId13"/>
    <sheet name="0910" sheetId="4" r:id="rId14"/>
    <sheet name="0809" sheetId="3" r:id="rId15"/>
    <sheet name="0708" sheetId="2" r:id="rId16"/>
    <sheet name="0607" sheetId="1" r:id="rId17"/>
    <sheet name="0506" sheetId="6" r:id="rId18"/>
    <sheet name="0405" sheetId="8" r:id="rId19"/>
  </sheets>
  <definedNames>
    <definedName name="_xlnm._FilterDatabase" localSheetId="8" hidden="1">'1415'!$A$28:$D$46</definedName>
  </definedNames>
  <calcPr calcId="145621"/>
</workbook>
</file>

<file path=xl/calcChain.xml><?xml version="1.0" encoding="utf-8"?>
<calcChain xmlns="http://schemas.openxmlformats.org/spreadsheetml/2006/main">
  <c r="B13" i="20" l="1"/>
  <c r="B17" i="20" l="1"/>
  <c r="B67" i="20"/>
  <c r="C48" i="20"/>
  <c r="I47" i="20"/>
  <c r="I48" i="20" s="1"/>
  <c r="I49" i="20" s="1"/>
  <c r="I50" i="20" s="1"/>
  <c r="I51" i="20" s="1"/>
  <c r="I52" i="20" s="1"/>
  <c r="I53" i="20" s="1"/>
  <c r="I54" i="20" s="1"/>
  <c r="I55" i="20" s="1"/>
  <c r="I56" i="20" s="1"/>
  <c r="I57" i="20" s="1"/>
  <c r="I58" i="20" s="1"/>
  <c r="I59" i="20" s="1"/>
  <c r="I60" i="20" s="1"/>
  <c r="I61" i="20" s="1"/>
  <c r="C47" i="20"/>
  <c r="C46" i="20"/>
  <c r="C42" i="20"/>
  <c r="M38" i="20"/>
  <c r="M39" i="20" s="1"/>
  <c r="M40" i="20" s="1"/>
  <c r="M41" i="20" s="1"/>
  <c r="M42" i="20" s="1"/>
  <c r="M43" i="20" s="1"/>
  <c r="M44" i="20" s="1"/>
  <c r="M45" i="20" s="1"/>
  <c r="M46" i="20" s="1"/>
  <c r="M47" i="20" s="1"/>
  <c r="M48" i="20" s="1"/>
  <c r="M49" i="20" s="1"/>
  <c r="M50" i="20" s="1"/>
  <c r="M51" i="20" s="1"/>
  <c r="M52" i="20" s="1"/>
  <c r="M53" i="20" s="1"/>
  <c r="M54" i="20" s="1"/>
  <c r="M55" i="20" s="1"/>
  <c r="M56" i="20" s="1"/>
  <c r="M57" i="20" s="1"/>
  <c r="M58" i="20" s="1"/>
  <c r="M59" i="20" s="1"/>
  <c r="M60" i="20" s="1"/>
  <c r="M61" i="20" s="1"/>
  <c r="M62" i="20" s="1"/>
  <c r="M63" i="20" s="1"/>
  <c r="M64" i="20" s="1"/>
  <c r="M65" i="20" s="1"/>
  <c r="M66" i="20" s="1"/>
  <c r="I38" i="20"/>
  <c r="I39" i="20" s="1"/>
  <c r="I40" i="20" s="1"/>
  <c r="I41" i="20" s="1"/>
  <c r="I42" i="20" s="1"/>
  <c r="I43" i="20" s="1"/>
  <c r="I44" i="20" s="1"/>
  <c r="I45" i="20" s="1"/>
  <c r="I46" i="20" s="1"/>
  <c r="E38" i="20"/>
  <c r="E39" i="20" s="1"/>
  <c r="E40" i="20" s="1"/>
  <c r="E41" i="20" s="1"/>
  <c r="E42" i="20" s="1"/>
  <c r="E43" i="20" s="1"/>
  <c r="E44" i="20" s="1"/>
  <c r="E45" i="20" s="1"/>
  <c r="E46" i="20" s="1"/>
  <c r="E47" i="20" s="1"/>
  <c r="E48" i="20" s="1"/>
  <c r="E49" i="20" s="1"/>
  <c r="E50" i="20" s="1"/>
  <c r="E51" i="20" s="1"/>
  <c r="E52" i="20" s="1"/>
  <c r="E53" i="20" s="1"/>
  <c r="E54" i="20" s="1"/>
  <c r="E55" i="20" s="1"/>
  <c r="E56" i="20" s="1"/>
  <c r="E57" i="20" s="1"/>
  <c r="E58" i="20" s="1"/>
  <c r="E59" i="20" s="1"/>
  <c r="E60" i="20" s="1"/>
  <c r="E61" i="20" s="1"/>
  <c r="E62" i="20" s="1"/>
  <c r="E63" i="20" s="1"/>
  <c r="E64" i="20" s="1"/>
  <c r="H37" i="20"/>
  <c r="H38" i="20" s="1"/>
  <c r="C37" i="20"/>
  <c r="C32" i="20"/>
  <c r="B32" i="20"/>
  <c r="B35" i="20" s="1"/>
  <c r="B41" i="20" s="1"/>
  <c r="D41" i="20" s="1"/>
  <c r="C31" i="20"/>
  <c r="C30" i="20"/>
  <c r="B29" i="20"/>
  <c r="B28" i="20"/>
  <c r="B42" i="20" s="1"/>
  <c r="D42" i="20" s="1"/>
  <c r="B18" i="20"/>
  <c r="B14" i="20"/>
  <c r="B12" i="20"/>
  <c r="B10" i="20"/>
  <c r="I5" i="20"/>
  <c r="I6" i="20" s="1"/>
  <c r="I7" i="20" s="1"/>
  <c r="I8" i="20" s="1"/>
  <c r="I9" i="20" s="1"/>
  <c r="I10" i="20" s="1"/>
  <c r="I11" i="20" s="1"/>
  <c r="I12" i="20" s="1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M4" i="20"/>
  <c r="M5" i="20" s="1"/>
  <c r="M6" i="20" s="1"/>
  <c r="M7" i="20" s="1"/>
  <c r="M8" i="20" s="1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I4" i="20"/>
  <c r="E4" i="20"/>
  <c r="E5" i="20" s="1"/>
  <c r="E6" i="20" s="1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H3" i="20"/>
  <c r="B48" i="20" l="1"/>
  <c r="D48" i="20" s="1"/>
  <c r="D32" i="20"/>
  <c r="D35" i="20"/>
  <c r="H39" i="20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B23" i="20"/>
  <c r="B31" i="20"/>
  <c r="B30" i="20"/>
  <c r="H4" i="20"/>
  <c r="H5" i="20" s="1"/>
  <c r="H6" i="20" s="1"/>
  <c r="H7" i="20" s="1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B20" i="20"/>
  <c r="B21" i="20" s="1"/>
  <c r="B38" i="20"/>
  <c r="D38" i="20" s="1"/>
  <c r="B45" i="20"/>
  <c r="D45" i="20" s="1"/>
  <c r="B17" i="19"/>
  <c r="B13" i="19"/>
  <c r="B67" i="19"/>
  <c r="C48" i="19"/>
  <c r="C47" i="19"/>
  <c r="C46" i="19"/>
  <c r="C42" i="19"/>
  <c r="M38" i="19"/>
  <c r="M39" i="19" s="1"/>
  <c r="M40" i="19" s="1"/>
  <c r="M41" i="19" s="1"/>
  <c r="M42" i="19" s="1"/>
  <c r="M43" i="19" s="1"/>
  <c r="M44" i="19" s="1"/>
  <c r="M45" i="19" s="1"/>
  <c r="M46" i="19" s="1"/>
  <c r="M47" i="19" s="1"/>
  <c r="M48" i="19" s="1"/>
  <c r="M49" i="19" s="1"/>
  <c r="M50" i="19" s="1"/>
  <c r="M51" i="19" s="1"/>
  <c r="M52" i="19" s="1"/>
  <c r="M53" i="19" s="1"/>
  <c r="M54" i="19" s="1"/>
  <c r="M55" i="19" s="1"/>
  <c r="M56" i="19" s="1"/>
  <c r="M57" i="19" s="1"/>
  <c r="M58" i="19" s="1"/>
  <c r="M59" i="19" s="1"/>
  <c r="M60" i="19" s="1"/>
  <c r="M61" i="19" s="1"/>
  <c r="M62" i="19" s="1"/>
  <c r="M63" i="19" s="1"/>
  <c r="M64" i="19" s="1"/>
  <c r="M65" i="19" s="1"/>
  <c r="M66" i="19" s="1"/>
  <c r="I38" i="19"/>
  <c r="I39" i="19" s="1"/>
  <c r="I40" i="19" s="1"/>
  <c r="I41" i="19" s="1"/>
  <c r="I42" i="19" s="1"/>
  <c r="I43" i="19" s="1"/>
  <c r="I44" i="19" s="1"/>
  <c r="I45" i="19" s="1"/>
  <c r="I46" i="19" s="1"/>
  <c r="I47" i="19" s="1"/>
  <c r="I48" i="19" s="1"/>
  <c r="I49" i="19" s="1"/>
  <c r="I50" i="19" s="1"/>
  <c r="I51" i="19" s="1"/>
  <c r="I52" i="19" s="1"/>
  <c r="I53" i="19" s="1"/>
  <c r="I54" i="19" s="1"/>
  <c r="I55" i="19" s="1"/>
  <c r="I56" i="19" s="1"/>
  <c r="I57" i="19" s="1"/>
  <c r="I58" i="19" s="1"/>
  <c r="I59" i="19" s="1"/>
  <c r="I60" i="19" s="1"/>
  <c r="I61" i="19" s="1"/>
  <c r="E38" i="19"/>
  <c r="E39" i="19" s="1"/>
  <c r="E40" i="19" s="1"/>
  <c r="E41" i="19" s="1"/>
  <c r="E42" i="19" s="1"/>
  <c r="E43" i="19" s="1"/>
  <c r="E44" i="19" s="1"/>
  <c r="E45" i="19" s="1"/>
  <c r="E46" i="19" s="1"/>
  <c r="E47" i="19" s="1"/>
  <c r="E48" i="19" s="1"/>
  <c r="E49" i="19" s="1"/>
  <c r="E50" i="19" s="1"/>
  <c r="E51" i="19" s="1"/>
  <c r="E52" i="19" s="1"/>
  <c r="E53" i="19" s="1"/>
  <c r="E54" i="19" s="1"/>
  <c r="E55" i="19" s="1"/>
  <c r="E56" i="19" s="1"/>
  <c r="E57" i="19" s="1"/>
  <c r="E58" i="19" s="1"/>
  <c r="E59" i="19" s="1"/>
  <c r="E60" i="19" s="1"/>
  <c r="E61" i="19" s="1"/>
  <c r="E62" i="19" s="1"/>
  <c r="E63" i="19" s="1"/>
  <c r="E64" i="19" s="1"/>
  <c r="H37" i="19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C37" i="19"/>
  <c r="C32" i="19"/>
  <c r="B32" i="19"/>
  <c r="B35" i="19" s="1"/>
  <c r="B41" i="19" s="1"/>
  <c r="D41" i="19" s="1"/>
  <c r="C31" i="19"/>
  <c r="C30" i="19"/>
  <c r="B29" i="19"/>
  <c r="B28" i="19"/>
  <c r="B42" i="19" s="1"/>
  <c r="D42" i="19" s="1"/>
  <c r="B18" i="19"/>
  <c r="B14" i="19"/>
  <c r="B12" i="19"/>
  <c r="B10" i="19"/>
  <c r="M5" i="19"/>
  <c r="M6" i="19" s="1"/>
  <c r="M7" i="19" s="1"/>
  <c r="M8" i="19" s="1"/>
  <c r="M9" i="19" s="1"/>
  <c r="M10" i="19" s="1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E5" i="19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M4" i="19"/>
  <c r="I4" i="19"/>
  <c r="I5" i="19" s="1"/>
  <c r="I6" i="19" s="1"/>
  <c r="I7" i="19" s="1"/>
  <c r="I8" i="19" s="1"/>
  <c r="I9" i="19" s="1"/>
  <c r="I10" i="19" s="1"/>
  <c r="I11" i="19" s="1"/>
  <c r="I12" i="19" s="1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E4" i="19"/>
  <c r="H3" i="19"/>
  <c r="H4" i="19" s="1"/>
  <c r="D52" i="20" l="1"/>
  <c r="R4" i="20"/>
  <c r="H61" i="20"/>
  <c r="H66" i="20"/>
  <c r="R14" i="20" s="1"/>
  <c r="B33" i="20"/>
  <c r="B46" i="20"/>
  <c r="D46" i="20" s="1"/>
  <c r="B43" i="20"/>
  <c r="D43" i="20" s="1"/>
  <c r="B36" i="20"/>
  <c r="D36" i="20" s="1"/>
  <c r="D30" i="20"/>
  <c r="B47" i="20"/>
  <c r="D47" i="20" s="1"/>
  <c r="B37" i="20"/>
  <c r="D37" i="20" s="1"/>
  <c r="D31" i="20"/>
  <c r="B44" i="20"/>
  <c r="D44" i="20" s="1"/>
  <c r="B34" i="20"/>
  <c r="H33" i="20"/>
  <c r="H34" i="20"/>
  <c r="L3" i="20" s="1"/>
  <c r="B48" i="19"/>
  <c r="D48" i="19" s="1"/>
  <c r="D32" i="19"/>
  <c r="B30" i="19"/>
  <c r="B33" i="19" s="1"/>
  <c r="H5" i="19"/>
  <c r="H6" i="19" s="1"/>
  <c r="H7" i="19" s="1"/>
  <c r="H8" i="19" s="1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66" i="19"/>
  <c r="R14" i="19" s="1"/>
  <c r="H61" i="19"/>
  <c r="D35" i="19"/>
  <c r="B23" i="19"/>
  <c r="B31" i="19"/>
  <c r="B20" i="19"/>
  <c r="B21" i="19"/>
  <c r="B38" i="19"/>
  <c r="D38" i="19" s="1"/>
  <c r="B45" i="19"/>
  <c r="D45" i="19" s="1"/>
  <c r="B28" i="18"/>
  <c r="B42" i="18" s="1"/>
  <c r="B17" i="18"/>
  <c r="B13" i="18"/>
  <c r="B67" i="18"/>
  <c r="C48" i="18"/>
  <c r="C47" i="18"/>
  <c r="C46" i="18"/>
  <c r="C42" i="18"/>
  <c r="M38" i="18"/>
  <c r="M39" i="18" s="1"/>
  <c r="M40" i="18" s="1"/>
  <c r="M41" i="18" s="1"/>
  <c r="M42" i="18" s="1"/>
  <c r="M43" i="18" s="1"/>
  <c r="M44" i="18" s="1"/>
  <c r="M45" i="18" s="1"/>
  <c r="M46" i="18" s="1"/>
  <c r="M47" i="18" s="1"/>
  <c r="M48" i="18" s="1"/>
  <c r="M49" i="18" s="1"/>
  <c r="M50" i="18" s="1"/>
  <c r="M51" i="18" s="1"/>
  <c r="M52" i="18" s="1"/>
  <c r="M53" i="18" s="1"/>
  <c r="M54" i="18" s="1"/>
  <c r="M55" i="18" s="1"/>
  <c r="M56" i="18" s="1"/>
  <c r="M57" i="18" s="1"/>
  <c r="M58" i="18" s="1"/>
  <c r="M59" i="18" s="1"/>
  <c r="M60" i="18" s="1"/>
  <c r="M61" i="18" s="1"/>
  <c r="M62" i="18" s="1"/>
  <c r="M63" i="18" s="1"/>
  <c r="M64" i="18" s="1"/>
  <c r="M65" i="18" s="1"/>
  <c r="M66" i="18" s="1"/>
  <c r="I38" i="18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I53" i="18" s="1"/>
  <c r="I54" i="18" s="1"/>
  <c r="I55" i="18" s="1"/>
  <c r="I56" i="18" s="1"/>
  <c r="I57" i="18" s="1"/>
  <c r="I58" i="18" s="1"/>
  <c r="I59" i="18" s="1"/>
  <c r="I60" i="18" s="1"/>
  <c r="I61" i="18" s="1"/>
  <c r="E38" i="18"/>
  <c r="E39" i="18" s="1"/>
  <c r="E40" i="18" s="1"/>
  <c r="E41" i="18" s="1"/>
  <c r="E42" i="18" s="1"/>
  <c r="E43" i="18" s="1"/>
  <c r="E44" i="18" s="1"/>
  <c r="E45" i="18" s="1"/>
  <c r="E46" i="18" s="1"/>
  <c r="E47" i="18" s="1"/>
  <c r="E48" i="18" s="1"/>
  <c r="E49" i="18" s="1"/>
  <c r="E50" i="18" s="1"/>
  <c r="E51" i="18" s="1"/>
  <c r="E52" i="18" s="1"/>
  <c r="E53" i="18" s="1"/>
  <c r="E54" i="18" s="1"/>
  <c r="E55" i="18" s="1"/>
  <c r="E56" i="18" s="1"/>
  <c r="E57" i="18" s="1"/>
  <c r="E58" i="18" s="1"/>
  <c r="E59" i="18" s="1"/>
  <c r="E60" i="18" s="1"/>
  <c r="E61" i="18" s="1"/>
  <c r="E62" i="18" s="1"/>
  <c r="E63" i="18" s="1"/>
  <c r="E64" i="18" s="1"/>
  <c r="H37" i="18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C37" i="18"/>
  <c r="C32" i="18"/>
  <c r="B32" i="18"/>
  <c r="B35" i="18" s="1"/>
  <c r="B41" i="18" s="1"/>
  <c r="D41" i="18" s="1"/>
  <c r="C31" i="18"/>
  <c r="C30" i="18"/>
  <c r="B29" i="18"/>
  <c r="B18" i="18"/>
  <c r="B14" i="18"/>
  <c r="B23" i="18" s="1"/>
  <c r="B12" i="18"/>
  <c r="B10" i="18"/>
  <c r="M5" i="18"/>
  <c r="M6" i="18" s="1"/>
  <c r="M7" i="18" s="1"/>
  <c r="M8" i="18" s="1"/>
  <c r="M9" i="18" s="1"/>
  <c r="M10" i="18" s="1"/>
  <c r="M11" i="18" s="1"/>
  <c r="M12" i="18" s="1"/>
  <c r="M13" i="18" s="1"/>
  <c r="M14" i="18" s="1"/>
  <c r="M15" i="18" s="1"/>
  <c r="M16" i="18" s="1"/>
  <c r="M17" i="18" s="1"/>
  <c r="M18" i="18" s="1"/>
  <c r="M19" i="18" s="1"/>
  <c r="M20" i="18" s="1"/>
  <c r="M21" i="18" s="1"/>
  <c r="M22" i="18" s="1"/>
  <c r="M23" i="18" s="1"/>
  <c r="M24" i="18" s="1"/>
  <c r="M25" i="18" s="1"/>
  <c r="M26" i="18" s="1"/>
  <c r="M27" i="18" s="1"/>
  <c r="M28" i="18" s="1"/>
  <c r="M29" i="18" s="1"/>
  <c r="M30" i="18" s="1"/>
  <c r="M31" i="18" s="1"/>
  <c r="M32" i="18" s="1"/>
  <c r="M33" i="18" s="1"/>
  <c r="E5" i="18"/>
  <c r="E6" i="18" s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0" i="18" s="1"/>
  <c r="E31" i="18" s="1"/>
  <c r="E32" i="18" s="1"/>
  <c r="M4" i="18"/>
  <c r="I4" i="18"/>
  <c r="I5" i="18" s="1"/>
  <c r="I6" i="18" s="1"/>
  <c r="I7" i="18" s="1"/>
  <c r="I8" i="18" s="1"/>
  <c r="I9" i="18" s="1"/>
  <c r="I10" i="18" s="1"/>
  <c r="I11" i="18" s="1"/>
  <c r="I12" i="18" s="1"/>
  <c r="I13" i="18" s="1"/>
  <c r="I14" i="18" s="1"/>
  <c r="I15" i="18" s="1"/>
  <c r="I16" i="18" s="1"/>
  <c r="I17" i="18" s="1"/>
  <c r="I18" i="18" s="1"/>
  <c r="I19" i="18" s="1"/>
  <c r="I20" i="18" s="1"/>
  <c r="I21" i="18" s="1"/>
  <c r="I22" i="18" s="1"/>
  <c r="I23" i="18" s="1"/>
  <c r="I24" i="18" s="1"/>
  <c r="I25" i="18" s="1"/>
  <c r="I26" i="18" s="1"/>
  <c r="I27" i="18" s="1"/>
  <c r="I28" i="18" s="1"/>
  <c r="I29" i="18" s="1"/>
  <c r="I30" i="18" s="1"/>
  <c r="I31" i="18" s="1"/>
  <c r="I32" i="18" s="1"/>
  <c r="I33" i="18" s="1"/>
  <c r="E4" i="18"/>
  <c r="H3" i="18"/>
  <c r="L4" i="20" l="1"/>
  <c r="L5" i="20" s="1"/>
  <c r="L6" i="20" s="1"/>
  <c r="L7" i="20" s="1"/>
  <c r="L8" i="20" s="1"/>
  <c r="L9" i="20" s="1"/>
  <c r="L10" i="20" s="1"/>
  <c r="L11" i="20" s="1"/>
  <c r="L12" i="20" s="1"/>
  <c r="L13" i="20" s="1"/>
  <c r="L14" i="20" s="1"/>
  <c r="L15" i="20" s="1"/>
  <c r="L16" i="20" s="1"/>
  <c r="L17" i="20" s="1"/>
  <c r="L18" i="20" s="1"/>
  <c r="L19" i="20" s="1"/>
  <c r="L20" i="20" s="1"/>
  <c r="L21" i="20" s="1"/>
  <c r="L22" i="20" s="1"/>
  <c r="L23" i="20" s="1"/>
  <c r="L24" i="20" s="1"/>
  <c r="L25" i="20" s="1"/>
  <c r="L26" i="20" s="1"/>
  <c r="L27" i="20" s="1"/>
  <c r="L28" i="20" s="1"/>
  <c r="L29" i="20" s="1"/>
  <c r="L30" i="20" s="1"/>
  <c r="L31" i="20" s="1"/>
  <c r="L32" i="20" s="1"/>
  <c r="L33" i="20" s="1"/>
  <c r="L34" i="20" s="1"/>
  <c r="P3" i="20" s="1"/>
  <c r="B39" i="20"/>
  <c r="D39" i="20" s="1"/>
  <c r="D33" i="20"/>
  <c r="D34" i="20"/>
  <c r="B40" i="20"/>
  <c r="D40" i="20" s="1"/>
  <c r="H62" i="20"/>
  <c r="H67" i="20"/>
  <c r="H68" i="20" s="1"/>
  <c r="L37" i="20" s="1"/>
  <c r="L38" i="20" s="1"/>
  <c r="L39" i="20" s="1"/>
  <c r="L40" i="20" s="1"/>
  <c r="L41" i="20" s="1"/>
  <c r="L42" i="20" s="1"/>
  <c r="L43" i="20" s="1"/>
  <c r="L44" i="20" s="1"/>
  <c r="L45" i="20" s="1"/>
  <c r="L46" i="20" s="1"/>
  <c r="L47" i="20" s="1"/>
  <c r="L48" i="20" s="1"/>
  <c r="L49" i="20" s="1"/>
  <c r="L50" i="20" s="1"/>
  <c r="L51" i="20" s="1"/>
  <c r="L52" i="20" s="1"/>
  <c r="L53" i="20" s="1"/>
  <c r="L54" i="20" s="1"/>
  <c r="L55" i="20" s="1"/>
  <c r="L56" i="20" s="1"/>
  <c r="L57" i="20" s="1"/>
  <c r="L58" i="20" s="1"/>
  <c r="L59" i="20" s="1"/>
  <c r="L60" i="20" s="1"/>
  <c r="L61" i="20" s="1"/>
  <c r="L62" i="20" s="1"/>
  <c r="L63" i="20" s="1"/>
  <c r="L64" i="20" s="1"/>
  <c r="L65" i="20" s="1"/>
  <c r="L66" i="20" s="1"/>
  <c r="L67" i="20" s="1"/>
  <c r="L68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H33" i="19"/>
  <c r="H34" i="19"/>
  <c r="L3" i="19" s="1"/>
  <c r="D30" i="19"/>
  <c r="B43" i="19"/>
  <c r="D43" i="19" s="1"/>
  <c r="B46" i="19"/>
  <c r="D46" i="19" s="1"/>
  <c r="D52" i="19"/>
  <c r="B36" i="19"/>
  <c r="D36" i="19" s="1"/>
  <c r="B47" i="19"/>
  <c r="D47" i="19" s="1"/>
  <c r="B37" i="19"/>
  <c r="D37" i="19" s="1"/>
  <c r="D31" i="19"/>
  <c r="B44" i="19"/>
  <c r="D44" i="19" s="1"/>
  <c r="B34" i="19"/>
  <c r="B39" i="19"/>
  <c r="D39" i="19" s="1"/>
  <c r="D33" i="19"/>
  <c r="H62" i="19"/>
  <c r="H63" i="19" s="1"/>
  <c r="H64" i="19" s="1"/>
  <c r="H67" i="19"/>
  <c r="H68" i="19" s="1"/>
  <c r="L37" i="19" s="1"/>
  <c r="L38" i="19" s="1"/>
  <c r="L39" i="19" s="1"/>
  <c r="L40" i="19" s="1"/>
  <c r="L41" i="19" s="1"/>
  <c r="L42" i="19" s="1"/>
  <c r="L43" i="19" s="1"/>
  <c r="L44" i="19" s="1"/>
  <c r="L45" i="19" s="1"/>
  <c r="L46" i="19" s="1"/>
  <c r="L47" i="19" s="1"/>
  <c r="L48" i="19" s="1"/>
  <c r="L49" i="19" s="1"/>
  <c r="L50" i="19" s="1"/>
  <c r="L51" i="19" s="1"/>
  <c r="L52" i="19" s="1"/>
  <c r="L53" i="19" s="1"/>
  <c r="L54" i="19" s="1"/>
  <c r="L55" i="19" s="1"/>
  <c r="L56" i="19" s="1"/>
  <c r="L57" i="19" s="1"/>
  <c r="L58" i="19" s="1"/>
  <c r="L59" i="19" s="1"/>
  <c r="L60" i="19" s="1"/>
  <c r="L61" i="19" s="1"/>
  <c r="L62" i="19" s="1"/>
  <c r="L63" i="19" s="1"/>
  <c r="L64" i="19" s="1"/>
  <c r="L65" i="19" s="1"/>
  <c r="L66" i="19" s="1"/>
  <c r="L67" i="19" s="1"/>
  <c r="L68" i="19" s="1"/>
  <c r="P37" i="19" s="1"/>
  <c r="P38" i="19" s="1"/>
  <c r="P39" i="19" s="1"/>
  <c r="P40" i="19" s="1"/>
  <c r="P41" i="19" s="1"/>
  <c r="P42" i="19" s="1"/>
  <c r="P43" i="19" s="1"/>
  <c r="P44" i="19" s="1"/>
  <c r="P45" i="19" s="1"/>
  <c r="P46" i="19" s="1"/>
  <c r="P47" i="19" s="1"/>
  <c r="P48" i="19" s="1"/>
  <c r="P49" i="19" s="1"/>
  <c r="P50" i="19" s="1"/>
  <c r="P51" i="19" s="1"/>
  <c r="P52" i="19" s="1"/>
  <c r="P53" i="19" s="1"/>
  <c r="P54" i="19" s="1"/>
  <c r="P55" i="19" s="1"/>
  <c r="P56" i="19" s="1"/>
  <c r="P57" i="19" s="1"/>
  <c r="P58" i="19" s="1"/>
  <c r="P59" i="19" s="1"/>
  <c r="P60" i="19" s="1"/>
  <c r="P61" i="19" s="1"/>
  <c r="R4" i="19"/>
  <c r="D42" i="18"/>
  <c r="B38" i="18"/>
  <c r="D38" i="18" s="1"/>
  <c r="D32" i="18"/>
  <c r="H4" i="18"/>
  <c r="H5" i="18" s="1"/>
  <c r="H6" i="18" s="1"/>
  <c r="H7" i="18" s="1"/>
  <c r="H8" i="18" s="1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L3" i="18" s="1"/>
  <c r="B20" i="18"/>
  <c r="B21" i="18"/>
  <c r="B30" i="18"/>
  <c r="D35" i="18"/>
  <c r="H66" i="18"/>
  <c r="R14" i="18" s="1"/>
  <c r="H61" i="18"/>
  <c r="B31" i="18"/>
  <c r="B48" i="18"/>
  <c r="D48" i="18" s="1"/>
  <c r="B45" i="18"/>
  <c r="D45" i="18" s="1"/>
  <c r="M66" i="17"/>
  <c r="D51" i="20" l="1"/>
  <c r="B1" i="20" s="1"/>
  <c r="B70" i="20" s="1"/>
  <c r="H63" i="20"/>
  <c r="H64" i="20" s="1"/>
  <c r="P67" i="20"/>
  <c r="P68" i="20" s="1"/>
  <c r="P62" i="20"/>
  <c r="P63" i="20" s="1"/>
  <c r="P64" i="20" s="1"/>
  <c r="P65" i="20" s="1"/>
  <c r="P66" i="20" s="1"/>
  <c r="R6" i="20"/>
  <c r="P4" i="20"/>
  <c r="P5" i="20" s="1"/>
  <c r="P6" i="20" s="1"/>
  <c r="P7" i="20" s="1"/>
  <c r="P8" i="20" s="1"/>
  <c r="P9" i="20" s="1"/>
  <c r="P10" i="20" s="1"/>
  <c r="P11" i="20" s="1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L4" i="19"/>
  <c r="L5" i="19" s="1"/>
  <c r="L6" i="19" s="1"/>
  <c r="L7" i="19" s="1"/>
  <c r="L8" i="19" s="1"/>
  <c r="L9" i="19" s="1"/>
  <c r="L10" i="19" s="1"/>
  <c r="L11" i="19" s="1"/>
  <c r="L12" i="19" s="1"/>
  <c r="L13" i="19" s="1"/>
  <c r="L14" i="19" s="1"/>
  <c r="L15" i="19" s="1"/>
  <c r="L16" i="19" s="1"/>
  <c r="L17" i="19" s="1"/>
  <c r="L18" i="19" s="1"/>
  <c r="L19" i="19" s="1"/>
  <c r="L20" i="19" s="1"/>
  <c r="L21" i="19" s="1"/>
  <c r="L22" i="19" s="1"/>
  <c r="L23" i="19" s="1"/>
  <c r="L24" i="19" s="1"/>
  <c r="L25" i="19" s="1"/>
  <c r="L26" i="19" s="1"/>
  <c r="L27" i="19" s="1"/>
  <c r="L28" i="19" s="1"/>
  <c r="L29" i="19" s="1"/>
  <c r="L30" i="19" s="1"/>
  <c r="L31" i="19" s="1"/>
  <c r="L32" i="19" s="1"/>
  <c r="L33" i="19" s="1"/>
  <c r="L34" i="19" s="1"/>
  <c r="P3" i="19" s="1"/>
  <c r="P4" i="19" s="1"/>
  <c r="P5" i="19" s="1"/>
  <c r="P6" i="19" s="1"/>
  <c r="P7" i="19" s="1"/>
  <c r="P8" i="19" s="1"/>
  <c r="P9" i="19" s="1"/>
  <c r="P10" i="19" s="1"/>
  <c r="P11" i="19" s="1"/>
  <c r="P12" i="19" s="1"/>
  <c r="P13" i="19" s="1"/>
  <c r="P14" i="19" s="1"/>
  <c r="P15" i="19" s="1"/>
  <c r="P16" i="19" s="1"/>
  <c r="P17" i="19" s="1"/>
  <c r="P18" i="19" s="1"/>
  <c r="P19" i="19" s="1"/>
  <c r="P20" i="19" s="1"/>
  <c r="P21" i="19" s="1"/>
  <c r="P22" i="19" s="1"/>
  <c r="P23" i="19" s="1"/>
  <c r="P24" i="19" s="1"/>
  <c r="P25" i="19" s="1"/>
  <c r="P26" i="19" s="1"/>
  <c r="P27" i="19" s="1"/>
  <c r="P28" i="19" s="1"/>
  <c r="P29" i="19" s="1"/>
  <c r="P30" i="19" s="1"/>
  <c r="P31" i="19" s="1"/>
  <c r="P32" i="19" s="1"/>
  <c r="P33" i="19" s="1"/>
  <c r="P34" i="19" s="1"/>
  <c r="H65" i="19"/>
  <c r="R10" i="19" s="1"/>
  <c r="R12" i="19"/>
  <c r="P67" i="19"/>
  <c r="P68" i="19" s="1"/>
  <c r="P62" i="19"/>
  <c r="P63" i="19" s="1"/>
  <c r="P64" i="19" s="1"/>
  <c r="P65" i="19" s="1"/>
  <c r="P66" i="19" s="1"/>
  <c r="D34" i="19"/>
  <c r="B40" i="19"/>
  <c r="D40" i="19" s="1"/>
  <c r="D52" i="18"/>
  <c r="L4" i="18"/>
  <c r="L5" i="18" s="1"/>
  <c r="L6" i="18" s="1"/>
  <c r="L7" i="18" s="1"/>
  <c r="L8" i="18" s="1"/>
  <c r="L9" i="18" s="1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B33" i="18"/>
  <c r="B46" i="18"/>
  <c r="D46" i="18" s="1"/>
  <c r="B43" i="18"/>
  <c r="D43" i="18" s="1"/>
  <c r="D30" i="18"/>
  <c r="B36" i="18"/>
  <c r="D36" i="18" s="1"/>
  <c r="B47" i="18"/>
  <c r="D47" i="18" s="1"/>
  <c r="B37" i="18"/>
  <c r="D37" i="18" s="1"/>
  <c r="D31" i="18"/>
  <c r="B44" i="18"/>
  <c r="D44" i="18" s="1"/>
  <c r="B34" i="18"/>
  <c r="H62" i="18"/>
  <c r="H67" i="18"/>
  <c r="H68" i="18" s="1"/>
  <c r="L37" i="18" s="1"/>
  <c r="L38" i="18" s="1"/>
  <c r="L39" i="18" s="1"/>
  <c r="L40" i="18" s="1"/>
  <c r="L41" i="18" s="1"/>
  <c r="L42" i="18" s="1"/>
  <c r="L43" i="18" s="1"/>
  <c r="L44" i="18" s="1"/>
  <c r="L45" i="18" s="1"/>
  <c r="L46" i="18" s="1"/>
  <c r="L47" i="18" s="1"/>
  <c r="L48" i="18" s="1"/>
  <c r="L49" i="18" s="1"/>
  <c r="L50" i="18" s="1"/>
  <c r="L51" i="18" s="1"/>
  <c r="L52" i="18" s="1"/>
  <c r="L53" i="18" s="1"/>
  <c r="L54" i="18" s="1"/>
  <c r="L55" i="18" s="1"/>
  <c r="L56" i="18" s="1"/>
  <c r="L57" i="18" s="1"/>
  <c r="L58" i="18" s="1"/>
  <c r="L59" i="18" s="1"/>
  <c r="L60" i="18" s="1"/>
  <c r="L61" i="18" s="1"/>
  <c r="L62" i="18" s="1"/>
  <c r="L63" i="18" s="1"/>
  <c r="L64" i="18" s="1"/>
  <c r="L65" i="18" s="1"/>
  <c r="L66" i="18" s="1"/>
  <c r="L67" i="18" s="1"/>
  <c r="L68" i="18" s="1"/>
  <c r="P37" i="18" s="1"/>
  <c r="P38" i="18" s="1"/>
  <c r="P39" i="18" s="1"/>
  <c r="P40" i="18" s="1"/>
  <c r="P41" i="18" s="1"/>
  <c r="P42" i="18" s="1"/>
  <c r="P43" i="18" s="1"/>
  <c r="P44" i="18" s="1"/>
  <c r="P45" i="18" s="1"/>
  <c r="P46" i="18" s="1"/>
  <c r="P47" i="18" s="1"/>
  <c r="P48" i="18" s="1"/>
  <c r="P49" i="18" s="1"/>
  <c r="P50" i="18" s="1"/>
  <c r="P51" i="18" s="1"/>
  <c r="P52" i="18" s="1"/>
  <c r="P53" i="18" s="1"/>
  <c r="P54" i="18" s="1"/>
  <c r="P55" i="18" s="1"/>
  <c r="P56" i="18" s="1"/>
  <c r="P57" i="18" s="1"/>
  <c r="P58" i="18" s="1"/>
  <c r="P59" i="18" s="1"/>
  <c r="P60" i="18" s="1"/>
  <c r="P61" i="18" s="1"/>
  <c r="R4" i="18"/>
  <c r="B17" i="17"/>
  <c r="R8" i="20" l="1"/>
  <c r="H65" i="20"/>
  <c r="R10" i="20" s="1"/>
  <c r="R12" i="20"/>
  <c r="R6" i="19"/>
  <c r="D51" i="19"/>
  <c r="B1" i="19" s="1"/>
  <c r="B70" i="19" s="1"/>
  <c r="R8" i="19"/>
  <c r="L24" i="18"/>
  <c r="L25" i="18" s="1"/>
  <c r="D34" i="18"/>
  <c r="B40" i="18"/>
  <c r="D40" i="18" s="1"/>
  <c r="B39" i="18"/>
  <c r="D39" i="18" s="1"/>
  <c r="D33" i="18"/>
  <c r="P67" i="18"/>
  <c r="P68" i="18" s="1"/>
  <c r="P62" i="18"/>
  <c r="P63" i="18" s="1"/>
  <c r="P64" i="18" s="1"/>
  <c r="P65" i="18" s="1"/>
  <c r="P66" i="18" s="1"/>
  <c r="H63" i="18"/>
  <c r="H64" i="18" s="1"/>
  <c r="B13" i="17"/>
  <c r="R17" i="20" l="1"/>
  <c r="R17" i="19"/>
  <c r="L26" i="18"/>
  <c r="L27" i="18" s="1"/>
  <c r="L28" i="18" s="1"/>
  <c r="L29" i="18" s="1"/>
  <c r="L30" i="18" s="1"/>
  <c r="L31" i="18" s="1"/>
  <c r="L32" i="18" s="1"/>
  <c r="L33" i="18" s="1"/>
  <c r="L34" i="18" s="1"/>
  <c r="P3" i="18" s="1"/>
  <c r="P4" i="18" s="1"/>
  <c r="P5" i="18" s="1"/>
  <c r="P6" i="18" s="1"/>
  <c r="P7" i="18" s="1"/>
  <c r="P8" i="18" s="1"/>
  <c r="P9" i="18" s="1"/>
  <c r="P10" i="18" s="1"/>
  <c r="P11" i="18" s="1"/>
  <c r="P12" i="18" s="1"/>
  <c r="P13" i="18" s="1"/>
  <c r="P14" i="18" s="1"/>
  <c r="P15" i="18" s="1"/>
  <c r="P16" i="18" s="1"/>
  <c r="P17" i="18" s="1"/>
  <c r="P18" i="18" s="1"/>
  <c r="P19" i="18" s="1"/>
  <c r="P20" i="18" s="1"/>
  <c r="P21" i="18" s="1"/>
  <c r="P22" i="18" s="1"/>
  <c r="P23" i="18" s="1"/>
  <c r="P24" i="18" s="1"/>
  <c r="P25" i="18" s="1"/>
  <c r="P26" i="18" s="1"/>
  <c r="P27" i="18" s="1"/>
  <c r="P28" i="18" s="1"/>
  <c r="P29" i="18" s="1"/>
  <c r="P30" i="18" s="1"/>
  <c r="P31" i="18" s="1"/>
  <c r="P32" i="18" s="1"/>
  <c r="P33" i="18" s="1"/>
  <c r="P34" i="18" s="1"/>
  <c r="D51" i="18"/>
  <c r="H65" i="18"/>
  <c r="R10" i="18" s="1"/>
  <c r="R12" i="18"/>
  <c r="B67" i="17"/>
  <c r="C48" i="17"/>
  <c r="C47" i="17"/>
  <c r="M45" i="17"/>
  <c r="M46" i="17" s="1"/>
  <c r="M47" i="17" s="1"/>
  <c r="M48" i="17" s="1"/>
  <c r="M49" i="17" s="1"/>
  <c r="M50" i="17" s="1"/>
  <c r="M51" i="17" s="1"/>
  <c r="M52" i="17" s="1"/>
  <c r="M53" i="17" s="1"/>
  <c r="M54" i="17" s="1"/>
  <c r="M55" i="17" s="1"/>
  <c r="M56" i="17" s="1"/>
  <c r="M57" i="17" s="1"/>
  <c r="M58" i="17" s="1"/>
  <c r="M59" i="17" s="1"/>
  <c r="M60" i="17" s="1"/>
  <c r="M61" i="17" s="1"/>
  <c r="M62" i="17" s="1"/>
  <c r="M63" i="17" s="1"/>
  <c r="M64" i="17" s="1"/>
  <c r="M65" i="17" s="1"/>
  <c r="C46" i="17"/>
  <c r="C42" i="17"/>
  <c r="M38" i="17"/>
  <c r="M39" i="17" s="1"/>
  <c r="M40" i="17" s="1"/>
  <c r="M41" i="17" s="1"/>
  <c r="M42" i="17" s="1"/>
  <c r="M43" i="17" s="1"/>
  <c r="M44" i="17" s="1"/>
  <c r="I38" i="17"/>
  <c r="I39" i="17" s="1"/>
  <c r="I40" i="17" s="1"/>
  <c r="I41" i="17" s="1"/>
  <c r="I42" i="17" s="1"/>
  <c r="I43" i="17" s="1"/>
  <c r="I44" i="17" s="1"/>
  <c r="I45" i="17" s="1"/>
  <c r="I46" i="17" s="1"/>
  <c r="I47" i="17" s="1"/>
  <c r="I48" i="17" s="1"/>
  <c r="I49" i="17" s="1"/>
  <c r="I50" i="17" s="1"/>
  <c r="I51" i="17" s="1"/>
  <c r="I52" i="17" s="1"/>
  <c r="I53" i="17" s="1"/>
  <c r="I54" i="17" s="1"/>
  <c r="I55" i="17" s="1"/>
  <c r="I56" i="17" s="1"/>
  <c r="I57" i="17" s="1"/>
  <c r="I58" i="17" s="1"/>
  <c r="I59" i="17" s="1"/>
  <c r="I60" i="17" s="1"/>
  <c r="I61" i="17" s="1"/>
  <c r="E38" i="17"/>
  <c r="E39" i="17" s="1"/>
  <c r="E40" i="17" s="1"/>
  <c r="E41" i="17" s="1"/>
  <c r="E42" i="17" s="1"/>
  <c r="E43" i="17" s="1"/>
  <c r="E44" i="17" s="1"/>
  <c r="E45" i="17" s="1"/>
  <c r="E46" i="17" s="1"/>
  <c r="E47" i="17" s="1"/>
  <c r="E48" i="17" s="1"/>
  <c r="E49" i="17" s="1"/>
  <c r="E50" i="17" s="1"/>
  <c r="E51" i="17" s="1"/>
  <c r="E52" i="17" s="1"/>
  <c r="E53" i="17" s="1"/>
  <c r="E54" i="17" s="1"/>
  <c r="E55" i="17" s="1"/>
  <c r="E56" i="17" s="1"/>
  <c r="E57" i="17" s="1"/>
  <c r="E58" i="17" s="1"/>
  <c r="E59" i="17" s="1"/>
  <c r="E60" i="17" s="1"/>
  <c r="E61" i="17" s="1"/>
  <c r="E62" i="17" s="1"/>
  <c r="E63" i="17" s="1"/>
  <c r="E64" i="17" s="1"/>
  <c r="H37" i="17"/>
  <c r="H38" i="17" s="1"/>
  <c r="H39" i="17" s="1"/>
  <c r="H40" i="17" s="1"/>
  <c r="H41" i="17" s="1"/>
  <c r="C37" i="17"/>
  <c r="C32" i="17"/>
  <c r="B32" i="17"/>
  <c r="C31" i="17"/>
  <c r="C30" i="17"/>
  <c r="B29" i="17"/>
  <c r="B28" i="17"/>
  <c r="B42" i="17" s="1"/>
  <c r="D42" i="17" s="1"/>
  <c r="B18" i="17"/>
  <c r="M14" i="17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B14" i="17"/>
  <c r="B12" i="17"/>
  <c r="B10" i="17"/>
  <c r="M6" i="17"/>
  <c r="M7" i="17" s="1"/>
  <c r="M8" i="17" s="1"/>
  <c r="M9" i="17" s="1"/>
  <c r="M10" i="17" s="1"/>
  <c r="M11" i="17" s="1"/>
  <c r="M12" i="17" s="1"/>
  <c r="M13" i="17" s="1"/>
  <c r="E6" i="17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M5" i="17"/>
  <c r="E5" i="17"/>
  <c r="M4" i="17"/>
  <c r="I4" i="17"/>
  <c r="I5" i="17" s="1"/>
  <c r="I6" i="17" s="1"/>
  <c r="I7" i="17" s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E4" i="17"/>
  <c r="H3" i="17"/>
  <c r="H4" i="17" s="1"/>
  <c r="H5" i="17" s="1"/>
  <c r="H6" i="17" s="1"/>
  <c r="H7" i="17" s="1"/>
  <c r="H8" i="17" s="1"/>
  <c r="H9" i="17" s="1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L3" i="17" s="1"/>
  <c r="R6" i="18" l="1"/>
  <c r="R8" i="18"/>
  <c r="B1" i="18"/>
  <c r="B70" i="18" s="1"/>
  <c r="B20" i="17"/>
  <c r="B21" i="17"/>
  <c r="L4" i="17"/>
  <c r="L5" i="17" s="1"/>
  <c r="L6" i="17" s="1"/>
  <c r="L7" i="17" s="1"/>
  <c r="L8" i="17" s="1"/>
  <c r="L9" i="17" s="1"/>
  <c r="L10" i="17" s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P3" i="17" s="1"/>
  <c r="R4" i="17"/>
  <c r="H42" i="17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B30" i="17"/>
  <c r="B23" i="17"/>
  <c r="B48" i="17"/>
  <c r="D48" i="17" s="1"/>
  <c r="B38" i="17"/>
  <c r="D38" i="17" s="1"/>
  <c r="D32" i="17"/>
  <c r="B45" i="17"/>
  <c r="D45" i="17" s="1"/>
  <c r="B31" i="17"/>
  <c r="B35" i="17"/>
  <c r="R15" i="16"/>
  <c r="R17" i="18" l="1"/>
  <c r="B36" i="17"/>
  <c r="D36" i="17" s="1"/>
  <c r="B33" i="17"/>
  <c r="B46" i="17"/>
  <c r="D46" i="17" s="1"/>
  <c r="B43" i="17"/>
  <c r="D43" i="17" s="1"/>
  <c r="D30" i="17"/>
  <c r="D35" i="17"/>
  <c r="B41" i="17"/>
  <c r="D41" i="17" s="1"/>
  <c r="B47" i="17"/>
  <c r="D47" i="17" s="1"/>
  <c r="B34" i="17"/>
  <c r="D31" i="17"/>
  <c r="B44" i="17"/>
  <c r="D44" i="17" s="1"/>
  <c r="B37" i="17"/>
  <c r="D37" i="17" s="1"/>
  <c r="P4" i="17"/>
  <c r="P5" i="17" s="1"/>
  <c r="P6" i="17" s="1"/>
  <c r="P7" i="17" s="1"/>
  <c r="P8" i="17" s="1"/>
  <c r="P9" i="17" s="1"/>
  <c r="P10" i="17" s="1"/>
  <c r="P11" i="17" s="1"/>
  <c r="P12" i="17" s="1"/>
  <c r="P13" i="17" s="1"/>
  <c r="P14" i="17" s="1"/>
  <c r="P15" i="17" s="1"/>
  <c r="P16" i="17" s="1"/>
  <c r="P17" i="17" s="1"/>
  <c r="P18" i="17" s="1"/>
  <c r="P19" i="17" s="1"/>
  <c r="P20" i="17" s="1"/>
  <c r="P21" i="17" s="1"/>
  <c r="P22" i="17" s="1"/>
  <c r="P23" i="17" s="1"/>
  <c r="P24" i="17" s="1"/>
  <c r="P25" i="17" s="1"/>
  <c r="P26" i="17" s="1"/>
  <c r="P27" i="17" s="1"/>
  <c r="P28" i="17" s="1"/>
  <c r="P29" i="17" s="1"/>
  <c r="P30" i="17" s="1"/>
  <c r="P31" i="17" s="1"/>
  <c r="P32" i="17" s="1"/>
  <c r="P33" i="17" s="1"/>
  <c r="P34" i="17" s="1"/>
  <c r="H66" i="17"/>
  <c r="R14" i="17" s="1"/>
  <c r="H61" i="17"/>
  <c r="R6" i="17"/>
  <c r="B18" i="16"/>
  <c r="D52" i="17" l="1"/>
  <c r="R8" i="17"/>
  <c r="H62" i="17"/>
  <c r="H63" i="17" s="1"/>
  <c r="H64" i="17" s="1"/>
  <c r="H67" i="17"/>
  <c r="H68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L55" i="17" s="1"/>
  <c r="L56" i="17" s="1"/>
  <c r="L57" i="17" s="1"/>
  <c r="L58" i="17" s="1"/>
  <c r="L59" i="17" s="1"/>
  <c r="L60" i="17" s="1"/>
  <c r="L61" i="17" s="1"/>
  <c r="L62" i="17" s="1"/>
  <c r="L63" i="17" s="1"/>
  <c r="L64" i="17" s="1"/>
  <c r="L65" i="17" s="1"/>
  <c r="L66" i="17" s="1"/>
  <c r="L67" i="17" s="1"/>
  <c r="L68" i="17" s="1"/>
  <c r="P37" i="17" s="1"/>
  <c r="P38" i="17" s="1"/>
  <c r="P39" i="17" s="1"/>
  <c r="P40" i="17" s="1"/>
  <c r="P41" i="17" s="1"/>
  <c r="P42" i="17" s="1"/>
  <c r="P43" i="17" s="1"/>
  <c r="P44" i="17" s="1"/>
  <c r="P45" i="17" s="1"/>
  <c r="P46" i="17" s="1"/>
  <c r="P47" i="17" s="1"/>
  <c r="P48" i="17" s="1"/>
  <c r="P49" i="17" s="1"/>
  <c r="P50" i="17" s="1"/>
  <c r="P51" i="17" s="1"/>
  <c r="P52" i="17" s="1"/>
  <c r="P53" i="17" s="1"/>
  <c r="P54" i="17" s="1"/>
  <c r="P55" i="17" s="1"/>
  <c r="P56" i="17" s="1"/>
  <c r="P57" i="17" s="1"/>
  <c r="P58" i="17" s="1"/>
  <c r="P59" i="17" s="1"/>
  <c r="P60" i="17" s="1"/>
  <c r="P61" i="17" s="1"/>
  <c r="D33" i="17"/>
  <c r="B39" i="17"/>
  <c r="D39" i="17" s="1"/>
  <c r="D34" i="17"/>
  <c r="B40" i="17"/>
  <c r="D40" i="17" s="1"/>
  <c r="B14" i="16"/>
  <c r="B68" i="16"/>
  <c r="C49" i="16"/>
  <c r="C48" i="16"/>
  <c r="C47" i="16"/>
  <c r="C43" i="16"/>
  <c r="M39" i="16"/>
  <c r="M40" i="16" s="1"/>
  <c r="M41" i="16" s="1"/>
  <c r="M42" i="16" s="1"/>
  <c r="M43" i="16" s="1"/>
  <c r="M44" i="16" s="1"/>
  <c r="M45" i="16" s="1"/>
  <c r="M46" i="16" s="1"/>
  <c r="M47" i="16" s="1"/>
  <c r="M48" i="16" s="1"/>
  <c r="M49" i="16" s="1"/>
  <c r="M50" i="16" s="1"/>
  <c r="M51" i="16" s="1"/>
  <c r="M52" i="16" s="1"/>
  <c r="M53" i="16" s="1"/>
  <c r="M54" i="16" s="1"/>
  <c r="M55" i="16" s="1"/>
  <c r="M56" i="16" s="1"/>
  <c r="M57" i="16" s="1"/>
  <c r="M58" i="16" s="1"/>
  <c r="M59" i="16" s="1"/>
  <c r="M60" i="16" s="1"/>
  <c r="M61" i="16" s="1"/>
  <c r="M62" i="16" s="1"/>
  <c r="M63" i="16" s="1"/>
  <c r="M64" i="16" s="1"/>
  <c r="M65" i="16" s="1"/>
  <c r="M66" i="16" s="1"/>
  <c r="M67" i="16" s="1"/>
  <c r="I39" i="16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I55" i="16" s="1"/>
  <c r="I56" i="16" s="1"/>
  <c r="I57" i="16" s="1"/>
  <c r="I58" i="16" s="1"/>
  <c r="I59" i="16" s="1"/>
  <c r="I60" i="16" s="1"/>
  <c r="I61" i="16" s="1"/>
  <c r="I62" i="16" s="1"/>
  <c r="E39" i="16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H38" i="16"/>
  <c r="H39" i="16" s="1"/>
  <c r="H40" i="16" s="1"/>
  <c r="H41" i="16" s="1"/>
  <c r="H42" i="16" s="1"/>
  <c r="H43" i="16" s="1"/>
  <c r="H44" i="16" s="1"/>
  <c r="H45" i="16" s="1"/>
  <c r="H46" i="16" s="1"/>
  <c r="H47" i="16" s="1"/>
  <c r="H48" i="16" s="1"/>
  <c r="H49" i="16" s="1"/>
  <c r="H50" i="16" s="1"/>
  <c r="H51" i="16" s="1"/>
  <c r="H52" i="16" s="1"/>
  <c r="H53" i="16" s="1"/>
  <c r="H54" i="16" s="1"/>
  <c r="H55" i="16" s="1"/>
  <c r="H56" i="16" s="1"/>
  <c r="H57" i="16" s="1"/>
  <c r="H58" i="16" s="1"/>
  <c r="C38" i="16"/>
  <c r="C33" i="16"/>
  <c r="B33" i="16"/>
  <c r="B36" i="16" s="1"/>
  <c r="C32" i="16"/>
  <c r="C31" i="16"/>
  <c r="B30" i="16"/>
  <c r="B29" i="16"/>
  <c r="B43" i="16" s="1"/>
  <c r="D43" i="16" s="1"/>
  <c r="B19" i="16"/>
  <c r="B15" i="16"/>
  <c r="B13" i="16"/>
  <c r="B11" i="16"/>
  <c r="M6" i="16"/>
  <c r="M7" i="16" s="1"/>
  <c r="M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E6" i="16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M5" i="16"/>
  <c r="I5" i="16"/>
  <c r="I6" i="16" s="1"/>
  <c r="I7" i="16" s="1"/>
  <c r="I8" i="16" s="1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E5" i="16"/>
  <c r="H4" i="16"/>
  <c r="D51" i="17" l="1"/>
  <c r="B1" i="17" s="1"/>
  <c r="B70" i="17" s="1"/>
  <c r="P62" i="17"/>
  <c r="P63" i="17" s="1"/>
  <c r="P64" i="17" s="1"/>
  <c r="P65" i="17" s="1"/>
  <c r="P66" i="17" s="1"/>
  <c r="P67" i="17"/>
  <c r="P68" i="17" s="1"/>
  <c r="H65" i="17"/>
  <c r="R10" i="17" s="1"/>
  <c r="R12" i="17"/>
  <c r="H5" i="16"/>
  <c r="H6" i="16" s="1"/>
  <c r="H7" i="16" s="1"/>
  <c r="H8" i="16" s="1"/>
  <c r="H9" i="16" s="1"/>
  <c r="H10" i="16" s="1"/>
  <c r="H11" i="16" s="1"/>
  <c r="H12" i="16" s="1"/>
  <c r="H13" i="16" s="1"/>
  <c r="H14" i="16" s="1"/>
  <c r="H15" i="16" s="1"/>
  <c r="H16" i="16" s="1"/>
  <c r="H17" i="16" s="1"/>
  <c r="H18" i="16" s="1"/>
  <c r="H19" i="16" s="1"/>
  <c r="H20" i="16" s="1"/>
  <c r="H21" i="16" s="1"/>
  <c r="H22" i="16" s="1"/>
  <c r="H23" i="16" s="1"/>
  <c r="H24" i="16" s="1"/>
  <c r="H25" i="16" s="1"/>
  <c r="H26" i="16" s="1"/>
  <c r="H27" i="16" s="1"/>
  <c r="H28" i="16" s="1"/>
  <c r="H29" i="16" s="1"/>
  <c r="H30" i="16" s="1"/>
  <c r="H31" i="16" s="1"/>
  <c r="H32" i="16" s="1"/>
  <c r="H33" i="16" s="1"/>
  <c r="H34" i="16" s="1"/>
  <c r="H59" i="16"/>
  <c r="H60" i="16" s="1"/>
  <c r="H61" i="16" s="1"/>
  <c r="H67" i="16" s="1"/>
  <c r="B22" i="16"/>
  <c r="B21" i="16"/>
  <c r="B42" i="16"/>
  <c r="D42" i="16" s="1"/>
  <c r="D36" i="16"/>
  <c r="B49" i="16"/>
  <c r="D49" i="16" s="1"/>
  <c r="B39" i="16"/>
  <c r="D39" i="16" s="1"/>
  <c r="D33" i="16"/>
  <c r="B32" i="16"/>
  <c r="B31" i="16"/>
  <c r="B24" i="16"/>
  <c r="B46" i="16"/>
  <c r="D46" i="16" s="1"/>
  <c r="B13" i="15"/>
  <c r="R17" i="17" l="1"/>
  <c r="R5" i="16"/>
  <c r="H35" i="16"/>
  <c r="L4" i="16" s="1"/>
  <c r="H62" i="16"/>
  <c r="H68" i="16" s="1"/>
  <c r="H69" i="16" s="1"/>
  <c r="L38" i="16" s="1"/>
  <c r="L39" i="16" s="1"/>
  <c r="L40" i="16" s="1"/>
  <c r="L41" i="16" s="1"/>
  <c r="L42" i="16" s="1"/>
  <c r="L43" i="16" s="1"/>
  <c r="L44" i="16" s="1"/>
  <c r="L45" i="16" s="1"/>
  <c r="L46" i="16" s="1"/>
  <c r="L47" i="16" s="1"/>
  <c r="L48" i="16" s="1"/>
  <c r="L49" i="16" s="1"/>
  <c r="L50" i="16" s="1"/>
  <c r="L51" i="16" s="1"/>
  <c r="L52" i="16" s="1"/>
  <c r="L53" i="16" s="1"/>
  <c r="L54" i="16" s="1"/>
  <c r="L55" i="16" s="1"/>
  <c r="L56" i="16" s="1"/>
  <c r="L57" i="16" s="1"/>
  <c r="L58" i="16" s="1"/>
  <c r="L59" i="16" s="1"/>
  <c r="L60" i="16" s="1"/>
  <c r="L61" i="16" s="1"/>
  <c r="L62" i="16" s="1"/>
  <c r="L63" i="16" s="1"/>
  <c r="L64" i="16" s="1"/>
  <c r="L65" i="16" s="1"/>
  <c r="L66" i="16" s="1"/>
  <c r="L67" i="16" s="1"/>
  <c r="L68" i="16" s="1"/>
  <c r="L69" i="16" s="1"/>
  <c r="P38" i="16" s="1"/>
  <c r="B38" i="16"/>
  <c r="D38" i="16" s="1"/>
  <c r="B48" i="16"/>
  <c r="D48" i="16" s="1"/>
  <c r="B35" i="16"/>
  <c r="D32" i="16"/>
  <c r="B45" i="16"/>
  <c r="D45" i="16" s="1"/>
  <c r="B37" i="16"/>
  <c r="D37" i="16" s="1"/>
  <c r="B34" i="16"/>
  <c r="B44" i="16"/>
  <c r="D44" i="16" s="1"/>
  <c r="B47" i="16"/>
  <c r="D47" i="16" s="1"/>
  <c r="D31" i="16"/>
  <c r="D53" i="16"/>
  <c r="H63" i="16"/>
  <c r="H64" i="16" s="1"/>
  <c r="H65" i="16" s="1"/>
  <c r="B17" i="15"/>
  <c r="B67" i="15"/>
  <c r="C48" i="15"/>
  <c r="C47" i="15"/>
  <c r="C46" i="15"/>
  <c r="C42" i="15"/>
  <c r="M39" i="15"/>
  <c r="M40" i="15" s="1"/>
  <c r="M41" i="15" s="1"/>
  <c r="M42" i="15" s="1"/>
  <c r="M43" i="15" s="1"/>
  <c r="M44" i="15" s="1"/>
  <c r="M45" i="15" s="1"/>
  <c r="M46" i="15" s="1"/>
  <c r="M47" i="15" s="1"/>
  <c r="M48" i="15" s="1"/>
  <c r="M49" i="15" s="1"/>
  <c r="M50" i="15" s="1"/>
  <c r="M51" i="15" s="1"/>
  <c r="M52" i="15" s="1"/>
  <c r="M53" i="15" s="1"/>
  <c r="M54" i="15" s="1"/>
  <c r="M55" i="15" s="1"/>
  <c r="M56" i="15" s="1"/>
  <c r="M57" i="15" s="1"/>
  <c r="M58" i="15" s="1"/>
  <c r="M59" i="15" s="1"/>
  <c r="M60" i="15" s="1"/>
  <c r="M61" i="15" s="1"/>
  <c r="M62" i="15" s="1"/>
  <c r="M63" i="15" s="1"/>
  <c r="M64" i="15" s="1"/>
  <c r="M65" i="15" s="1"/>
  <c r="M66" i="15" s="1"/>
  <c r="M67" i="15" s="1"/>
  <c r="I39" i="15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  <c r="I52" i="15" s="1"/>
  <c r="I53" i="15" s="1"/>
  <c r="I54" i="15" s="1"/>
  <c r="I55" i="15" s="1"/>
  <c r="I56" i="15" s="1"/>
  <c r="I57" i="15" s="1"/>
  <c r="I58" i="15" s="1"/>
  <c r="I59" i="15" s="1"/>
  <c r="I60" i="15" s="1"/>
  <c r="I61" i="15" s="1"/>
  <c r="I62" i="15" s="1"/>
  <c r="E39" i="15"/>
  <c r="E40" i="15" s="1"/>
  <c r="E41" i="15" s="1"/>
  <c r="E42" i="15" s="1"/>
  <c r="E43" i="15" s="1"/>
  <c r="E44" i="15" s="1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E62" i="15" s="1"/>
  <c r="E63" i="15" s="1"/>
  <c r="E64" i="15" s="1"/>
  <c r="E65" i="15" s="1"/>
  <c r="H38" i="15"/>
  <c r="H39" i="15" s="1"/>
  <c r="H40" i="15" s="1"/>
  <c r="H41" i="15" s="1"/>
  <c r="H42" i="15" s="1"/>
  <c r="H43" i="15" s="1"/>
  <c r="H44" i="15" s="1"/>
  <c r="H45" i="15" s="1"/>
  <c r="H46" i="15" s="1"/>
  <c r="H47" i="15" s="1"/>
  <c r="H48" i="15" s="1"/>
  <c r="H49" i="15" s="1"/>
  <c r="H50" i="15" s="1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C37" i="15"/>
  <c r="C32" i="15"/>
  <c r="B32" i="15"/>
  <c r="B48" i="15" s="1"/>
  <c r="D48" i="15" s="1"/>
  <c r="C31" i="15"/>
  <c r="C30" i="15"/>
  <c r="B29" i="15"/>
  <c r="B28" i="15"/>
  <c r="B42" i="15" s="1"/>
  <c r="D42" i="15" s="1"/>
  <c r="B18" i="15"/>
  <c r="B14" i="15"/>
  <c r="B12" i="15"/>
  <c r="B10" i="15"/>
  <c r="M6" i="15"/>
  <c r="M7" i="15" s="1"/>
  <c r="M8" i="15" s="1"/>
  <c r="M9" i="15" s="1"/>
  <c r="M10" i="15" s="1"/>
  <c r="M11" i="15" s="1"/>
  <c r="M12" i="15" s="1"/>
  <c r="M13" i="15" s="1"/>
  <c r="M14" i="15" s="1"/>
  <c r="M15" i="15" s="1"/>
  <c r="M16" i="15" s="1"/>
  <c r="M17" i="15" s="1"/>
  <c r="M18" i="15" s="1"/>
  <c r="M19" i="15" s="1"/>
  <c r="M20" i="15" s="1"/>
  <c r="M21" i="15" s="1"/>
  <c r="M22" i="15" s="1"/>
  <c r="M23" i="15" s="1"/>
  <c r="M24" i="15" s="1"/>
  <c r="M25" i="15" s="1"/>
  <c r="M26" i="15" s="1"/>
  <c r="M27" i="15" s="1"/>
  <c r="M28" i="15" s="1"/>
  <c r="M29" i="15" s="1"/>
  <c r="M30" i="15" s="1"/>
  <c r="M31" i="15" s="1"/>
  <c r="M32" i="15" s="1"/>
  <c r="M33" i="15" s="1"/>
  <c r="M34" i="15" s="1"/>
  <c r="E6" i="15"/>
  <c r="E7" i="15" s="1"/>
  <c r="E8" i="15" s="1"/>
  <c r="E9" i="15" s="1"/>
  <c r="E10" i="15" s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M5" i="15"/>
  <c r="I5" i="15"/>
  <c r="I6" i="15" s="1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E5" i="15"/>
  <c r="H4" i="15"/>
  <c r="H5" i="15" s="1"/>
  <c r="H6" i="15" s="1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H30" i="15" s="1"/>
  <c r="H31" i="15" s="1"/>
  <c r="H32" i="15" s="1"/>
  <c r="H33" i="15" s="1"/>
  <c r="H34" i="15" s="1"/>
  <c r="H35" i="15" s="1"/>
  <c r="L4" i="15" s="1"/>
  <c r="L5" i="15" s="1"/>
  <c r="L6" i="15" s="1"/>
  <c r="L7" i="15" s="1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L19" i="15" s="1"/>
  <c r="L20" i="15" s="1"/>
  <c r="L21" i="15" s="1"/>
  <c r="L22" i="15" s="1"/>
  <c r="L23" i="15" s="1"/>
  <c r="L24" i="15" s="1"/>
  <c r="L25" i="15" s="1"/>
  <c r="L26" i="15" s="1"/>
  <c r="L27" i="15" s="1"/>
  <c r="L28" i="15" s="1"/>
  <c r="L29" i="15" s="1"/>
  <c r="L30" i="15" s="1"/>
  <c r="L31" i="15" s="1"/>
  <c r="L32" i="15" s="1"/>
  <c r="L33" i="15" s="1"/>
  <c r="L34" i="15" s="1"/>
  <c r="L35" i="15" s="1"/>
  <c r="P4" i="15" s="1"/>
  <c r="P5" i="15" s="1"/>
  <c r="P6" i="15" s="1"/>
  <c r="P7" i="15" s="1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P19" i="15" s="1"/>
  <c r="P20" i="15" s="1"/>
  <c r="P21" i="15" s="1"/>
  <c r="P22" i="15" s="1"/>
  <c r="P23" i="15" s="1"/>
  <c r="P24" i="15" s="1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L5" i="16" l="1"/>
  <c r="L6" i="16" s="1"/>
  <c r="L7" i="16" s="1"/>
  <c r="L8" i="16" s="1"/>
  <c r="L9" i="16" s="1"/>
  <c r="L10" i="16" s="1"/>
  <c r="L11" i="16" s="1"/>
  <c r="L12" i="16" s="1"/>
  <c r="L13" i="16" s="1"/>
  <c r="L14" i="16" s="1"/>
  <c r="L15" i="16" s="1"/>
  <c r="L16" i="16" s="1"/>
  <c r="L17" i="16" s="1"/>
  <c r="L18" i="16" s="1"/>
  <c r="L19" i="16" s="1"/>
  <c r="L20" i="16" s="1"/>
  <c r="L21" i="16" s="1"/>
  <c r="L22" i="16" s="1"/>
  <c r="L23" i="16" s="1"/>
  <c r="L24" i="16" s="1"/>
  <c r="L25" i="16" s="1"/>
  <c r="L26" i="16" s="1"/>
  <c r="L27" i="16" s="1"/>
  <c r="L28" i="16" s="1"/>
  <c r="L29" i="16" s="1"/>
  <c r="L30" i="16" s="1"/>
  <c r="L31" i="16" s="1"/>
  <c r="L32" i="16" s="1"/>
  <c r="L33" i="16" s="1"/>
  <c r="L34" i="16" s="1"/>
  <c r="L35" i="16" s="1"/>
  <c r="P4" i="16" s="1"/>
  <c r="P39" i="16"/>
  <c r="P40" i="16" s="1"/>
  <c r="P41" i="16" s="1"/>
  <c r="P42" i="16" s="1"/>
  <c r="P43" i="16" s="1"/>
  <c r="P44" i="16" s="1"/>
  <c r="P45" i="16" s="1"/>
  <c r="P46" i="16" s="1"/>
  <c r="P47" i="16" s="1"/>
  <c r="P48" i="16" s="1"/>
  <c r="P49" i="16" s="1"/>
  <c r="P50" i="16" s="1"/>
  <c r="P51" i="16" s="1"/>
  <c r="P52" i="16" s="1"/>
  <c r="P53" i="16" s="1"/>
  <c r="P54" i="16" s="1"/>
  <c r="P55" i="16" s="1"/>
  <c r="P56" i="16" s="1"/>
  <c r="P57" i="16" s="1"/>
  <c r="P58" i="16" s="1"/>
  <c r="P59" i="16" s="1"/>
  <c r="P60" i="16" s="1"/>
  <c r="P61" i="16" s="1"/>
  <c r="P62" i="16" s="1"/>
  <c r="P68" i="16" s="1"/>
  <c r="P69" i="16" s="1"/>
  <c r="H66" i="16"/>
  <c r="R11" i="16" s="1"/>
  <c r="R13" i="16"/>
  <c r="B40" i="16"/>
  <c r="D40" i="16" s="1"/>
  <c r="D34" i="16"/>
  <c r="B41" i="16"/>
  <c r="D41" i="16" s="1"/>
  <c r="D35" i="16"/>
  <c r="B20" i="15"/>
  <c r="B21" i="15"/>
  <c r="B31" i="15"/>
  <c r="B30" i="15"/>
  <c r="B23" i="15"/>
  <c r="H67" i="15"/>
  <c r="H62" i="15"/>
  <c r="B35" i="15"/>
  <c r="B45" i="15"/>
  <c r="D45" i="15" s="1"/>
  <c r="D32" i="15"/>
  <c r="B38" i="15"/>
  <c r="D38" i="15" s="1"/>
  <c r="B10" i="14"/>
  <c r="R7" i="16" l="1"/>
  <c r="P5" i="16"/>
  <c r="P6" i="16" s="1"/>
  <c r="P7" i="16" s="1"/>
  <c r="P8" i="16" s="1"/>
  <c r="P9" i="16" s="1"/>
  <c r="P10" i="16" s="1"/>
  <c r="P11" i="16" s="1"/>
  <c r="P12" i="16" s="1"/>
  <c r="P13" i="16" s="1"/>
  <c r="P14" i="16" s="1"/>
  <c r="P15" i="16" s="1"/>
  <c r="P16" i="16" s="1"/>
  <c r="P17" i="16" s="1"/>
  <c r="P18" i="16" s="1"/>
  <c r="P19" i="16" s="1"/>
  <c r="P20" i="16" s="1"/>
  <c r="P21" i="16" s="1"/>
  <c r="P22" i="16" s="1"/>
  <c r="P23" i="16" s="1"/>
  <c r="P24" i="16" s="1"/>
  <c r="P25" i="16" s="1"/>
  <c r="P26" i="16" s="1"/>
  <c r="P27" i="16" s="1"/>
  <c r="P28" i="16" s="1"/>
  <c r="P29" i="16" s="1"/>
  <c r="P30" i="16" s="1"/>
  <c r="P31" i="16" s="1"/>
  <c r="P32" i="16" s="1"/>
  <c r="P33" i="16" s="1"/>
  <c r="P34" i="16" s="1"/>
  <c r="P35" i="16" s="1"/>
  <c r="P63" i="16"/>
  <c r="P64" i="16" s="1"/>
  <c r="P65" i="16" s="1"/>
  <c r="P66" i="16" s="1"/>
  <c r="P67" i="16" s="1"/>
  <c r="D52" i="16"/>
  <c r="B2" i="16" s="1"/>
  <c r="B71" i="16" s="1"/>
  <c r="B41" i="15"/>
  <c r="D41" i="15" s="1"/>
  <c r="D35" i="15"/>
  <c r="D52" i="15" s="1"/>
  <c r="B36" i="15"/>
  <c r="D36" i="15" s="1"/>
  <c r="B33" i="15"/>
  <c r="B46" i="15"/>
  <c r="D46" i="15" s="1"/>
  <c r="B43" i="15"/>
  <c r="D43" i="15" s="1"/>
  <c r="D30" i="15"/>
  <c r="H63" i="15"/>
  <c r="H64" i="15" s="1"/>
  <c r="H65" i="15" s="1"/>
  <c r="H66" i="15" s="1"/>
  <c r="H68" i="15"/>
  <c r="H69" i="15" s="1"/>
  <c r="L38" i="15" s="1"/>
  <c r="L39" i="15" s="1"/>
  <c r="L40" i="15" s="1"/>
  <c r="L41" i="15" s="1"/>
  <c r="L42" i="15" s="1"/>
  <c r="L43" i="15" s="1"/>
  <c r="L44" i="15" s="1"/>
  <c r="L45" i="15" s="1"/>
  <c r="L46" i="15" s="1"/>
  <c r="L47" i="15" s="1"/>
  <c r="L48" i="15" s="1"/>
  <c r="L49" i="15" s="1"/>
  <c r="L50" i="15" s="1"/>
  <c r="L51" i="15" s="1"/>
  <c r="L52" i="15" s="1"/>
  <c r="L53" i="15" s="1"/>
  <c r="L54" i="15" s="1"/>
  <c r="L55" i="15" s="1"/>
  <c r="L56" i="15" s="1"/>
  <c r="L57" i="15" s="1"/>
  <c r="L58" i="15" s="1"/>
  <c r="L59" i="15" s="1"/>
  <c r="L60" i="15" s="1"/>
  <c r="L61" i="15" s="1"/>
  <c r="L62" i="15" s="1"/>
  <c r="L63" i="15" s="1"/>
  <c r="L64" i="15" s="1"/>
  <c r="L65" i="15" s="1"/>
  <c r="L66" i="15" s="1"/>
  <c r="L67" i="15" s="1"/>
  <c r="L68" i="15" s="1"/>
  <c r="L69" i="15" s="1"/>
  <c r="P38" i="15" s="1"/>
  <c r="P39" i="15" s="1"/>
  <c r="P40" i="15" s="1"/>
  <c r="P41" i="15" s="1"/>
  <c r="P42" i="15" s="1"/>
  <c r="P43" i="15" s="1"/>
  <c r="P44" i="15" s="1"/>
  <c r="P45" i="15" s="1"/>
  <c r="P46" i="15" s="1"/>
  <c r="P47" i="15" s="1"/>
  <c r="P48" i="15" s="1"/>
  <c r="P49" i="15" s="1"/>
  <c r="P50" i="15" s="1"/>
  <c r="P51" i="15" s="1"/>
  <c r="P52" i="15" s="1"/>
  <c r="P53" i="15" s="1"/>
  <c r="P54" i="15" s="1"/>
  <c r="P55" i="15" s="1"/>
  <c r="P56" i="15" s="1"/>
  <c r="P57" i="15" s="1"/>
  <c r="P58" i="15" s="1"/>
  <c r="P59" i="15" s="1"/>
  <c r="P60" i="15" s="1"/>
  <c r="P61" i="15" s="1"/>
  <c r="P62" i="15" s="1"/>
  <c r="B37" i="15"/>
  <c r="D37" i="15" s="1"/>
  <c r="B47" i="15"/>
  <c r="D47" i="15" s="1"/>
  <c r="B34" i="15"/>
  <c r="D31" i="15"/>
  <c r="B44" i="15"/>
  <c r="D44" i="15" s="1"/>
  <c r="E63" i="14"/>
  <c r="E64" i="14" s="1"/>
  <c r="E65" i="14" s="1"/>
  <c r="R9" i="16" l="1"/>
  <c r="R18" i="16" s="1"/>
  <c r="B40" i="15"/>
  <c r="D40" i="15" s="1"/>
  <c r="D34" i="15"/>
  <c r="P68" i="15"/>
  <c r="P69" i="15" s="1"/>
  <c r="P63" i="15"/>
  <c r="P64" i="15" s="1"/>
  <c r="P65" i="15" s="1"/>
  <c r="P66" i="15" s="1"/>
  <c r="P67" i="15" s="1"/>
  <c r="B39" i="15"/>
  <c r="D39" i="15" s="1"/>
  <c r="D33" i="15"/>
  <c r="B17" i="14"/>
  <c r="B67" i="14"/>
  <c r="C48" i="14"/>
  <c r="C47" i="14"/>
  <c r="C46" i="14"/>
  <c r="C42" i="14"/>
  <c r="M39" i="14"/>
  <c r="M40" i="14" s="1"/>
  <c r="M41" i="14" s="1"/>
  <c r="M42" i="14" s="1"/>
  <c r="M43" i="14" s="1"/>
  <c r="M44" i="14" s="1"/>
  <c r="M45" i="14" s="1"/>
  <c r="M46" i="14" s="1"/>
  <c r="M47" i="14" s="1"/>
  <c r="M48" i="14" s="1"/>
  <c r="M49" i="14" s="1"/>
  <c r="M50" i="14" s="1"/>
  <c r="M51" i="14" s="1"/>
  <c r="M52" i="14" s="1"/>
  <c r="M53" i="14" s="1"/>
  <c r="M54" i="14" s="1"/>
  <c r="M55" i="14" s="1"/>
  <c r="M56" i="14" s="1"/>
  <c r="M57" i="14" s="1"/>
  <c r="M58" i="14" s="1"/>
  <c r="M59" i="14" s="1"/>
  <c r="M60" i="14" s="1"/>
  <c r="M61" i="14" s="1"/>
  <c r="M62" i="14" s="1"/>
  <c r="M63" i="14" s="1"/>
  <c r="M64" i="14" s="1"/>
  <c r="M65" i="14" s="1"/>
  <c r="M66" i="14" s="1"/>
  <c r="M67" i="14" s="1"/>
  <c r="I39" i="14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E39" i="14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E56" i="14" s="1"/>
  <c r="E57" i="14" s="1"/>
  <c r="E58" i="14" s="1"/>
  <c r="E59" i="14" s="1"/>
  <c r="E60" i="14" s="1"/>
  <c r="E61" i="14" s="1"/>
  <c r="E62" i="14" s="1"/>
  <c r="H38" i="14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C37" i="14"/>
  <c r="C32" i="14"/>
  <c r="B32" i="14"/>
  <c r="C31" i="14"/>
  <c r="C30" i="14"/>
  <c r="B29" i="14"/>
  <c r="B28" i="14"/>
  <c r="B42" i="14" s="1"/>
  <c r="D42" i="14" s="1"/>
  <c r="B18" i="14"/>
  <c r="B14" i="14"/>
  <c r="B13" i="14"/>
  <c r="B12" i="14"/>
  <c r="M6" i="14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E6" i="14"/>
  <c r="E7" i="14" s="1"/>
  <c r="E8" i="14" s="1"/>
  <c r="E9" i="14" s="1"/>
  <c r="E10" i="14" s="1"/>
  <c r="E11" i="14" s="1"/>
  <c r="E12" i="14" s="1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M5" i="14"/>
  <c r="I5" i="14"/>
  <c r="I6" i="14" s="1"/>
  <c r="I7" i="14" s="1"/>
  <c r="I8" i="14" s="1"/>
  <c r="I9" i="14" s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E5" i="14"/>
  <c r="H4" i="14"/>
  <c r="H5" i="14" s="1"/>
  <c r="H6" i="14" s="1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L4" i="14" s="1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P4" i="14" s="1"/>
  <c r="P5" i="14" s="1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D51" i="15" l="1"/>
  <c r="B2" i="15" s="1"/>
  <c r="B70" i="15" s="1"/>
  <c r="B20" i="14"/>
  <c r="H62" i="14"/>
  <c r="H67" i="14"/>
  <c r="B30" i="14"/>
  <c r="B23" i="14"/>
  <c r="B21" i="14"/>
  <c r="B31" i="14"/>
  <c r="B45" i="14"/>
  <c r="D45" i="14" s="1"/>
  <c r="B48" i="14"/>
  <c r="D48" i="14" s="1"/>
  <c r="B38" i="14"/>
  <c r="D38" i="14" s="1"/>
  <c r="D32" i="14"/>
  <c r="B35" i="14"/>
  <c r="Q59" i="8"/>
  <c r="M59" i="8"/>
  <c r="I59" i="8"/>
  <c r="Q58" i="8"/>
  <c r="M58" i="8"/>
  <c r="I58" i="8"/>
  <c r="Q57" i="8"/>
  <c r="M57" i="8"/>
  <c r="I57" i="8"/>
  <c r="Q56" i="8"/>
  <c r="M56" i="8"/>
  <c r="I56" i="8"/>
  <c r="Q55" i="8"/>
  <c r="M55" i="8"/>
  <c r="I55" i="8"/>
  <c r="Q54" i="8"/>
  <c r="M54" i="8"/>
  <c r="I54" i="8"/>
  <c r="Q53" i="8"/>
  <c r="M53" i="8"/>
  <c r="I53" i="8"/>
  <c r="Q52" i="8"/>
  <c r="M52" i="8"/>
  <c r="I52" i="8"/>
  <c r="Q51" i="8"/>
  <c r="M51" i="8"/>
  <c r="I51" i="8"/>
  <c r="Q50" i="8"/>
  <c r="M50" i="8"/>
  <c r="I50" i="8"/>
  <c r="Q49" i="8"/>
  <c r="M49" i="8"/>
  <c r="I49" i="8"/>
  <c r="Q48" i="8"/>
  <c r="M48" i="8"/>
  <c r="I48" i="8"/>
  <c r="Q47" i="8"/>
  <c r="M47" i="8"/>
  <c r="I47" i="8"/>
  <c r="Q46" i="8"/>
  <c r="M46" i="8"/>
  <c r="I46" i="8"/>
  <c r="Q45" i="8"/>
  <c r="M45" i="8"/>
  <c r="I45" i="8"/>
  <c r="Q44" i="8"/>
  <c r="M44" i="8"/>
  <c r="I44" i="8"/>
  <c r="Q43" i="8"/>
  <c r="M43" i="8"/>
  <c r="I43" i="8"/>
  <c r="Q42" i="8"/>
  <c r="M42" i="8"/>
  <c r="I42" i="8"/>
  <c r="Q41" i="8"/>
  <c r="M41" i="8"/>
  <c r="I41" i="8"/>
  <c r="Q40" i="8"/>
  <c r="M40" i="8"/>
  <c r="I40" i="8"/>
  <c r="Q39" i="8"/>
  <c r="M39" i="8"/>
  <c r="I39" i="8"/>
  <c r="Q38" i="8"/>
  <c r="M38" i="8"/>
  <c r="I38" i="8"/>
  <c r="Q37" i="8"/>
  <c r="M37" i="8"/>
  <c r="I37" i="8"/>
  <c r="Q36" i="8"/>
  <c r="M36" i="8"/>
  <c r="I36" i="8"/>
  <c r="Q35" i="8"/>
  <c r="M35" i="8"/>
  <c r="I35" i="8"/>
  <c r="Q34" i="8"/>
  <c r="M34" i="8"/>
  <c r="I34" i="8"/>
  <c r="Q33" i="8"/>
  <c r="M33" i="8"/>
  <c r="I33" i="8"/>
  <c r="Q30" i="8"/>
  <c r="M30" i="8"/>
  <c r="I30" i="8"/>
  <c r="Q29" i="8"/>
  <c r="M29" i="8"/>
  <c r="I29" i="8"/>
  <c r="Q28" i="8"/>
  <c r="M28" i="8"/>
  <c r="I28" i="8"/>
  <c r="Q27" i="8"/>
  <c r="M27" i="8"/>
  <c r="I27" i="8"/>
  <c r="Q26" i="8"/>
  <c r="M26" i="8"/>
  <c r="I26" i="8"/>
  <c r="Q25" i="8"/>
  <c r="M25" i="8"/>
  <c r="I25" i="8"/>
  <c r="Q24" i="8"/>
  <c r="M24" i="8"/>
  <c r="I24" i="8"/>
  <c r="B24" i="8"/>
  <c r="Q23" i="8"/>
  <c r="M23" i="8"/>
  <c r="I23" i="8"/>
  <c r="Q22" i="8"/>
  <c r="M22" i="8"/>
  <c r="I22" i="8"/>
  <c r="Q21" i="8"/>
  <c r="M21" i="8"/>
  <c r="I21" i="8"/>
  <c r="Q20" i="8"/>
  <c r="M20" i="8"/>
  <c r="I20" i="8"/>
  <c r="B20" i="8"/>
  <c r="Q19" i="8"/>
  <c r="M19" i="8"/>
  <c r="I19" i="8"/>
  <c r="B19" i="8"/>
  <c r="Q18" i="8"/>
  <c r="M18" i="8"/>
  <c r="I18" i="8"/>
  <c r="Q17" i="8"/>
  <c r="M17" i="8"/>
  <c r="I17" i="8"/>
  <c r="Q16" i="8"/>
  <c r="M16" i="8"/>
  <c r="I16" i="8"/>
  <c r="Q15" i="8"/>
  <c r="M15" i="8"/>
  <c r="I15" i="8"/>
  <c r="Q14" i="8"/>
  <c r="M14" i="8"/>
  <c r="I14" i="8"/>
  <c r="D14" i="8"/>
  <c r="Q13" i="8"/>
  <c r="M13" i="8"/>
  <c r="I13" i="8"/>
  <c r="Q12" i="8"/>
  <c r="M12" i="8"/>
  <c r="I12" i="8"/>
  <c r="D12" i="8"/>
  <c r="B12" i="8"/>
  <c r="Q11" i="8"/>
  <c r="M11" i="8"/>
  <c r="I11" i="8"/>
  <c r="Q10" i="8"/>
  <c r="M10" i="8"/>
  <c r="I10" i="8"/>
  <c r="D10" i="8"/>
  <c r="B10" i="8"/>
  <c r="Q9" i="8"/>
  <c r="M9" i="8"/>
  <c r="I9" i="8"/>
  <c r="D9" i="8"/>
  <c r="Q8" i="8"/>
  <c r="M8" i="8"/>
  <c r="I8" i="8"/>
  <c r="D8" i="8"/>
  <c r="B8" i="8"/>
  <c r="Q7" i="8"/>
  <c r="M7" i="8"/>
  <c r="I7" i="8"/>
  <c r="D7" i="8"/>
  <c r="Q6" i="8"/>
  <c r="M6" i="8"/>
  <c r="I6" i="8"/>
  <c r="D6" i="8"/>
  <c r="B6" i="8"/>
  <c r="Q5" i="8"/>
  <c r="M5" i="8"/>
  <c r="I5" i="8"/>
  <c r="B5" i="8"/>
  <c r="Q4" i="8"/>
  <c r="M4" i="8"/>
  <c r="I4" i="8"/>
  <c r="B4" i="8"/>
  <c r="Q59" i="6"/>
  <c r="M59" i="6"/>
  <c r="I59" i="6"/>
  <c r="Q58" i="6"/>
  <c r="M58" i="6"/>
  <c r="I58" i="6"/>
  <c r="Q57" i="6"/>
  <c r="M57" i="6"/>
  <c r="I57" i="6"/>
  <c r="Q56" i="6"/>
  <c r="M56" i="6"/>
  <c r="I56" i="6"/>
  <c r="Q55" i="6"/>
  <c r="M55" i="6"/>
  <c r="I55" i="6"/>
  <c r="Q54" i="6"/>
  <c r="M54" i="6"/>
  <c r="I54" i="6"/>
  <c r="Q53" i="6"/>
  <c r="M53" i="6"/>
  <c r="I53" i="6"/>
  <c r="Q52" i="6"/>
  <c r="M52" i="6"/>
  <c r="I52" i="6"/>
  <c r="Q51" i="6"/>
  <c r="M51" i="6"/>
  <c r="I51" i="6"/>
  <c r="Q50" i="6"/>
  <c r="M50" i="6"/>
  <c r="I50" i="6"/>
  <c r="Q49" i="6"/>
  <c r="M49" i="6"/>
  <c r="I49" i="6"/>
  <c r="Q48" i="6"/>
  <c r="M48" i="6"/>
  <c r="I48" i="6"/>
  <c r="Q47" i="6"/>
  <c r="M47" i="6"/>
  <c r="I47" i="6"/>
  <c r="Q46" i="6"/>
  <c r="M46" i="6"/>
  <c r="I46" i="6"/>
  <c r="Q45" i="6"/>
  <c r="M45" i="6"/>
  <c r="I45" i="6"/>
  <c r="Q44" i="6"/>
  <c r="M44" i="6"/>
  <c r="I44" i="6"/>
  <c r="Q43" i="6"/>
  <c r="M43" i="6"/>
  <c r="I43" i="6"/>
  <c r="Q42" i="6"/>
  <c r="M42" i="6"/>
  <c r="I42" i="6"/>
  <c r="Q41" i="6"/>
  <c r="M41" i="6"/>
  <c r="I41" i="6"/>
  <c r="D41" i="6"/>
  <c r="C41" i="6"/>
  <c r="B41" i="6"/>
  <c r="Q40" i="6"/>
  <c r="M40" i="6"/>
  <c r="I40" i="6"/>
  <c r="D40" i="6"/>
  <c r="Q39" i="6"/>
  <c r="M39" i="6"/>
  <c r="I39" i="6"/>
  <c r="D39" i="6"/>
  <c r="Q38" i="6"/>
  <c r="M38" i="6"/>
  <c r="I38" i="6"/>
  <c r="D38" i="6"/>
  <c r="B38" i="6"/>
  <c r="Q37" i="6"/>
  <c r="M37" i="6"/>
  <c r="I37" i="6"/>
  <c r="D37" i="6"/>
  <c r="Q36" i="6"/>
  <c r="M36" i="6"/>
  <c r="I36" i="6"/>
  <c r="D36" i="6"/>
  <c r="B36" i="6"/>
  <c r="Q35" i="6"/>
  <c r="M35" i="6"/>
  <c r="I35" i="6"/>
  <c r="D35" i="6"/>
  <c r="Q34" i="6"/>
  <c r="M34" i="6"/>
  <c r="I34" i="6"/>
  <c r="D34" i="6"/>
  <c r="Q33" i="6"/>
  <c r="M33" i="6"/>
  <c r="I33" i="6"/>
  <c r="B32" i="6"/>
  <c r="B31" i="6"/>
  <c r="B33" i="6" s="1"/>
  <c r="D33" i="6" s="1"/>
  <c r="D43" i="6" s="1"/>
  <c r="B2" i="6" s="1"/>
  <c r="Q30" i="6"/>
  <c r="M30" i="6"/>
  <c r="I30" i="6"/>
  <c r="Q29" i="6"/>
  <c r="M29" i="6"/>
  <c r="I29" i="6"/>
  <c r="Q28" i="6"/>
  <c r="M28" i="6"/>
  <c r="I28" i="6"/>
  <c r="Q27" i="6"/>
  <c r="M27" i="6"/>
  <c r="I27" i="6"/>
  <c r="Q26" i="6"/>
  <c r="M26" i="6"/>
  <c r="I26" i="6"/>
  <c r="Q25" i="6"/>
  <c r="M25" i="6"/>
  <c r="I25" i="6"/>
  <c r="Q24" i="6"/>
  <c r="M24" i="6"/>
  <c r="I24" i="6"/>
  <c r="Q23" i="6"/>
  <c r="M23" i="6"/>
  <c r="I23" i="6"/>
  <c r="Q22" i="6"/>
  <c r="M22" i="6"/>
  <c r="I22" i="6"/>
  <c r="Q21" i="6"/>
  <c r="M21" i="6"/>
  <c r="I21" i="6"/>
  <c r="Q20" i="6"/>
  <c r="M20" i="6"/>
  <c r="I20" i="6"/>
  <c r="Q19" i="6"/>
  <c r="M19" i="6"/>
  <c r="I19" i="6"/>
  <c r="Q18" i="6"/>
  <c r="M18" i="6"/>
  <c r="I18" i="6"/>
  <c r="Q17" i="6"/>
  <c r="M17" i="6"/>
  <c r="I17" i="6"/>
  <c r="Q16" i="6"/>
  <c r="M16" i="6"/>
  <c r="I16" i="6"/>
  <c r="Q15" i="6"/>
  <c r="M15" i="6"/>
  <c r="I15" i="6"/>
  <c r="Q14" i="6"/>
  <c r="M14" i="6"/>
  <c r="I14" i="6"/>
  <c r="Q13" i="6"/>
  <c r="M13" i="6"/>
  <c r="I13" i="6"/>
  <c r="Q12" i="6"/>
  <c r="M12" i="6"/>
  <c r="I12" i="6"/>
  <c r="Q11" i="6"/>
  <c r="M11" i="6"/>
  <c r="I11" i="6"/>
  <c r="Q10" i="6"/>
  <c r="M10" i="6"/>
  <c r="I10" i="6"/>
  <c r="B10" i="6"/>
  <c r="Q9" i="6"/>
  <c r="M9" i="6"/>
  <c r="I9" i="6"/>
  <c r="Q8" i="6"/>
  <c r="M8" i="6"/>
  <c r="I8" i="6"/>
  <c r="Q7" i="6"/>
  <c r="M7" i="6"/>
  <c r="I7" i="6"/>
  <c r="Q6" i="6"/>
  <c r="M6" i="6"/>
  <c r="I6" i="6"/>
  <c r="Q5" i="6"/>
  <c r="M5" i="6"/>
  <c r="I5" i="6"/>
  <c r="Q4" i="6"/>
  <c r="M4" i="6"/>
  <c r="I4" i="6"/>
  <c r="Q69" i="1"/>
  <c r="M69" i="1"/>
  <c r="I69" i="1"/>
  <c r="Q68" i="1"/>
  <c r="M68" i="1"/>
  <c r="I68" i="1"/>
  <c r="Q67" i="1"/>
  <c r="N67" i="1"/>
  <c r="M67" i="1"/>
  <c r="I67" i="1"/>
  <c r="Q66" i="1"/>
  <c r="N66" i="1"/>
  <c r="M66" i="1"/>
  <c r="I66" i="1"/>
  <c r="Q65" i="1"/>
  <c r="N65" i="1"/>
  <c r="M65" i="1"/>
  <c r="I65" i="1"/>
  <c r="Q64" i="1"/>
  <c r="N64" i="1"/>
  <c r="M64" i="1"/>
  <c r="I64" i="1"/>
  <c r="Q63" i="1"/>
  <c r="N63" i="1"/>
  <c r="M63" i="1"/>
  <c r="I63" i="1"/>
  <c r="Q62" i="1"/>
  <c r="N62" i="1"/>
  <c r="M62" i="1"/>
  <c r="J62" i="1"/>
  <c r="I62" i="1"/>
  <c r="F62" i="1"/>
  <c r="Q61" i="1"/>
  <c r="N61" i="1"/>
  <c r="M61" i="1"/>
  <c r="J61" i="1"/>
  <c r="I61" i="1"/>
  <c r="F61" i="1"/>
  <c r="Q60" i="1"/>
  <c r="N60" i="1"/>
  <c r="M60" i="1"/>
  <c r="J60" i="1"/>
  <c r="I60" i="1"/>
  <c r="F60" i="1"/>
  <c r="Q59" i="1"/>
  <c r="N59" i="1"/>
  <c r="M59" i="1"/>
  <c r="J59" i="1"/>
  <c r="I59" i="1"/>
  <c r="F59" i="1"/>
  <c r="Q58" i="1"/>
  <c r="N58" i="1"/>
  <c r="M58" i="1"/>
  <c r="J58" i="1"/>
  <c r="I58" i="1"/>
  <c r="F58" i="1"/>
  <c r="Q57" i="1"/>
  <c r="N57" i="1"/>
  <c r="M57" i="1"/>
  <c r="J57" i="1"/>
  <c r="I57" i="1"/>
  <c r="F57" i="1"/>
  <c r="Q56" i="1"/>
  <c r="N56" i="1"/>
  <c r="M56" i="1"/>
  <c r="J56" i="1"/>
  <c r="I56" i="1"/>
  <c r="F56" i="1"/>
  <c r="Q55" i="1"/>
  <c r="N55" i="1"/>
  <c r="M55" i="1"/>
  <c r="J55" i="1"/>
  <c r="I55" i="1"/>
  <c r="F55" i="1"/>
  <c r="Q54" i="1"/>
  <c r="N54" i="1"/>
  <c r="M54" i="1"/>
  <c r="J54" i="1"/>
  <c r="I54" i="1"/>
  <c r="F54" i="1"/>
  <c r="Q53" i="1"/>
  <c r="N53" i="1"/>
  <c r="M53" i="1"/>
  <c r="J53" i="1"/>
  <c r="I53" i="1"/>
  <c r="F53" i="1"/>
  <c r="Q52" i="1"/>
  <c r="N52" i="1"/>
  <c r="M52" i="1"/>
  <c r="J52" i="1"/>
  <c r="I52" i="1"/>
  <c r="F52" i="1"/>
  <c r="Q51" i="1"/>
  <c r="N51" i="1"/>
  <c r="M51" i="1"/>
  <c r="J51" i="1"/>
  <c r="I51" i="1"/>
  <c r="F51" i="1"/>
  <c r="Q50" i="1"/>
  <c r="N50" i="1"/>
  <c r="M50" i="1"/>
  <c r="J50" i="1"/>
  <c r="I50" i="1"/>
  <c r="F50" i="1"/>
  <c r="Q49" i="1"/>
  <c r="N49" i="1"/>
  <c r="M49" i="1"/>
  <c r="J49" i="1"/>
  <c r="I49" i="1"/>
  <c r="F49" i="1"/>
  <c r="Q48" i="1"/>
  <c r="N48" i="1"/>
  <c r="M48" i="1"/>
  <c r="J48" i="1"/>
  <c r="I48" i="1"/>
  <c r="F48" i="1"/>
  <c r="Q47" i="1"/>
  <c r="N47" i="1"/>
  <c r="M47" i="1"/>
  <c r="J47" i="1"/>
  <c r="I47" i="1"/>
  <c r="F47" i="1"/>
  <c r="Q46" i="1"/>
  <c r="N46" i="1"/>
  <c r="M46" i="1"/>
  <c r="J46" i="1"/>
  <c r="I46" i="1"/>
  <c r="F46" i="1"/>
  <c r="Q45" i="1"/>
  <c r="N45" i="1"/>
  <c r="M45" i="1"/>
  <c r="J45" i="1"/>
  <c r="I45" i="1"/>
  <c r="F45" i="1"/>
  <c r="Q44" i="1"/>
  <c r="N44" i="1"/>
  <c r="M44" i="1"/>
  <c r="J44" i="1"/>
  <c r="I44" i="1"/>
  <c r="F44" i="1"/>
  <c r="Q43" i="1"/>
  <c r="N43" i="1"/>
  <c r="M43" i="1"/>
  <c r="J43" i="1"/>
  <c r="I43" i="1"/>
  <c r="F43" i="1"/>
  <c r="D43" i="1"/>
  <c r="Q42" i="1"/>
  <c r="N42" i="1"/>
  <c r="M42" i="1"/>
  <c r="J42" i="1"/>
  <c r="I42" i="1"/>
  <c r="F42" i="1"/>
  <c r="Q41" i="1"/>
  <c r="N41" i="1"/>
  <c r="M41" i="1"/>
  <c r="J41" i="1"/>
  <c r="I41" i="1"/>
  <c r="F41" i="1"/>
  <c r="D41" i="1"/>
  <c r="C41" i="1"/>
  <c r="Q40" i="1"/>
  <c r="N40" i="1"/>
  <c r="M40" i="1"/>
  <c r="J40" i="1"/>
  <c r="I40" i="1"/>
  <c r="F40" i="1"/>
  <c r="D40" i="1"/>
  <c r="C40" i="1"/>
  <c r="B40" i="1"/>
  <c r="Q39" i="1"/>
  <c r="N39" i="1"/>
  <c r="M39" i="1"/>
  <c r="J39" i="1"/>
  <c r="I39" i="1"/>
  <c r="F39" i="1"/>
  <c r="D39" i="1"/>
  <c r="C39" i="1"/>
  <c r="Q38" i="1"/>
  <c r="M38" i="1"/>
  <c r="I38" i="1"/>
  <c r="D38" i="1"/>
  <c r="B38" i="1"/>
  <c r="D37" i="1"/>
  <c r="D36" i="1"/>
  <c r="B36" i="1"/>
  <c r="Q35" i="1"/>
  <c r="M35" i="1"/>
  <c r="I35" i="1"/>
  <c r="D35" i="1"/>
  <c r="B35" i="1"/>
  <c r="Q34" i="1"/>
  <c r="N34" i="1"/>
  <c r="M34" i="1"/>
  <c r="J34" i="1"/>
  <c r="I34" i="1"/>
  <c r="D34" i="1"/>
  <c r="B34" i="1"/>
  <c r="Q33" i="1"/>
  <c r="N33" i="1"/>
  <c r="M33" i="1"/>
  <c r="J33" i="1"/>
  <c r="I33" i="1"/>
  <c r="D33" i="1"/>
  <c r="B33" i="1"/>
  <c r="Q32" i="1"/>
  <c r="N32" i="1"/>
  <c r="M32" i="1"/>
  <c r="J32" i="1"/>
  <c r="I32" i="1"/>
  <c r="B32" i="1"/>
  <c r="Q31" i="1"/>
  <c r="N31" i="1"/>
  <c r="M31" i="1"/>
  <c r="J31" i="1"/>
  <c r="I31" i="1"/>
  <c r="B31" i="1"/>
  <c r="Q30" i="1"/>
  <c r="N30" i="1"/>
  <c r="M30" i="1"/>
  <c r="J30" i="1"/>
  <c r="I30" i="1"/>
  <c r="Q29" i="1"/>
  <c r="N29" i="1"/>
  <c r="M29" i="1"/>
  <c r="J29" i="1"/>
  <c r="I29" i="1"/>
  <c r="Q28" i="1"/>
  <c r="N28" i="1"/>
  <c r="M28" i="1"/>
  <c r="J28" i="1"/>
  <c r="I28" i="1"/>
  <c r="F28" i="1"/>
  <c r="Q27" i="1"/>
  <c r="N27" i="1"/>
  <c r="M27" i="1"/>
  <c r="J27" i="1"/>
  <c r="I27" i="1"/>
  <c r="F27" i="1"/>
  <c r="Q26" i="1"/>
  <c r="N26" i="1"/>
  <c r="M26" i="1"/>
  <c r="J26" i="1"/>
  <c r="I26" i="1"/>
  <c r="F26" i="1"/>
  <c r="Q25" i="1"/>
  <c r="N25" i="1"/>
  <c r="M25" i="1"/>
  <c r="J25" i="1"/>
  <c r="I25" i="1"/>
  <c r="F25" i="1"/>
  <c r="Q24" i="1"/>
  <c r="N24" i="1"/>
  <c r="M24" i="1"/>
  <c r="J24" i="1"/>
  <c r="I24" i="1"/>
  <c r="F24" i="1"/>
  <c r="Q23" i="1"/>
  <c r="N23" i="1"/>
  <c r="M23" i="1"/>
  <c r="J23" i="1"/>
  <c r="I23" i="1"/>
  <c r="F23" i="1"/>
  <c r="Q22" i="1"/>
  <c r="N22" i="1"/>
  <c r="M22" i="1"/>
  <c r="J22" i="1"/>
  <c r="I22" i="1"/>
  <c r="F22" i="1"/>
  <c r="Q21" i="1"/>
  <c r="N21" i="1"/>
  <c r="M21" i="1"/>
  <c r="J21" i="1"/>
  <c r="I21" i="1"/>
  <c r="F21" i="1"/>
  <c r="Q20" i="1"/>
  <c r="N20" i="1"/>
  <c r="M20" i="1"/>
  <c r="J20" i="1"/>
  <c r="I20" i="1"/>
  <c r="F20" i="1"/>
  <c r="Q19" i="1"/>
  <c r="N19" i="1"/>
  <c r="M19" i="1"/>
  <c r="J19" i="1"/>
  <c r="I19" i="1"/>
  <c r="F19" i="1"/>
  <c r="Q18" i="1"/>
  <c r="N18" i="1"/>
  <c r="M18" i="1"/>
  <c r="J18" i="1"/>
  <c r="I18" i="1"/>
  <c r="F18" i="1"/>
  <c r="Q17" i="1"/>
  <c r="N17" i="1"/>
  <c r="M17" i="1"/>
  <c r="J17" i="1"/>
  <c r="I17" i="1"/>
  <c r="F17" i="1"/>
  <c r="Q16" i="1"/>
  <c r="N16" i="1"/>
  <c r="M16" i="1"/>
  <c r="J16" i="1"/>
  <c r="I16" i="1"/>
  <c r="F16" i="1"/>
  <c r="Q15" i="1"/>
  <c r="N15" i="1"/>
  <c r="M15" i="1"/>
  <c r="J15" i="1"/>
  <c r="I15" i="1"/>
  <c r="F15" i="1"/>
  <c r="Q14" i="1"/>
  <c r="N14" i="1"/>
  <c r="M14" i="1"/>
  <c r="J14" i="1"/>
  <c r="I14" i="1"/>
  <c r="F14" i="1"/>
  <c r="Q13" i="1"/>
  <c r="N13" i="1"/>
  <c r="M13" i="1"/>
  <c r="J13" i="1"/>
  <c r="I13" i="1"/>
  <c r="F13" i="1"/>
  <c r="Q12" i="1"/>
  <c r="N12" i="1"/>
  <c r="M12" i="1"/>
  <c r="J12" i="1"/>
  <c r="I12" i="1"/>
  <c r="F12" i="1"/>
  <c r="Q11" i="1"/>
  <c r="N11" i="1"/>
  <c r="M11" i="1"/>
  <c r="J11" i="1"/>
  <c r="I11" i="1"/>
  <c r="F11" i="1"/>
  <c r="B11" i="1"/>
  <c r="Q10" i="1"/>
  <c r="N10" i="1"/>
  <c r="M10" i="1"/>
  <c r="J10" i="1"/>
  <c r="I10" i="1"/>
  <c r="F10" i="1"/>
  <c r="B10" i="1"/>
  <c r="Q9" i="1"/>
  <c r="N9" i="1"/>
  <c r="M9" i="1"/>
  <c r="J9" i="1"/>
  <c r="I9" i="1"/>
  <c r="F9" i="1"/>
  <c r="B9" i="1"/>
  <c r="Q8" i="1"/>
  <c r="N8" i="1"/>
  <c r="M8" i="1"/>
  <c r="J8" i="1"/>
  <c r="I8" i="1"/>
  <c r="F8" i="1"/>
  <c r="Q7" i="1"/>
  <c r="N7" i="1"/>
  <c r="M7" i="1"/>
  <c r="J7" i="1"/>
  <c r="I7" i="1"/>
  <c r="F7" i="1"/>
  <c r="Q6" i="1"/>
  <c r="N6" i="1"/>
  <c r="M6" i="1"/>
  <c r="J6" i="1"/>
  <c r="I6" i="1"/>
  <c r="F6" i="1"/>
  <c r="Q5" i="1"/>
  <c r="N5" i="1"/>
  <c r="M5" i="1"/>
  <c r="J5" i="1"/>
  <c r="I5" i="1"/>
  <c r="F5" i="1"/>
  <c r="Q4" i="1"/>
  <c r="M4" i="1"/>
  <c r="I4" i="1"/>
  <c r="B2" i="1"/>
  <c r="Q69" i="2"/>
  <c r="M69" i="2"/>
  <c r="I69" i="2"/>
  <c r="Q68" i="2"/>
  <c r="M68" i="2"/>
  <c r="I68" i="2"/>
  <c r="Q67" i="2"/>
  <c r="N67" i="2"/>
  <c r="M67" i="2"/>
  <c r="I67" i="2"/>
  <c r="Q66" i="2"/>
  <c r="N66" i="2"/>
  <c r="M66" i="2"/>
  <c r="I66" i="2"/>
  <c r="Q65" i="2"/>
  <c r="N65" i="2"/>
  <c r="M65" i="2"/>
  <c r="I65" i="2"/>
  <c r="Q64" i="2"/>
  <c r="N64" i="2"/>
  <c r="M64" i="2"/>
  <c r="I64" i="2"/>
  <c r="Q63" i="2"/>
  <c r="N63" i="2"/>
  <c r="M63" i="2"/>
  <c r="I63" i="2"/>
  <c r="Q62" i="2"/>
  <c r="N62" i="2"/>
  <c r="M62" i="2"/>
  <c r="J62" i="2"/>
  <c r="I62" i="2"/>
  <c r="F62" i="2"/>
  <c r="Q61" i="2"/>
  <c r="N61" i="2"/>
  <c r="M61" i="2"/>
  <c r="J61" i="2"/>
  <c r="I61" i="2"/>
  <c r="F61" i="2"/>
  <c r="Q60" i="2"/>
  <c r="N60" i="2"/>
  <c r="M60" i="2"/>
  <c r="J60" i="2"/>
  <c r="I60" i="2"/>
  <c r="F60" i="2"/>
  <c r="Q59" i="2"/>
  <c r="N59" i="2"/>
  <c r="M59" i="2"/>
  <c r="J59" i="2"/>
  <c r="I59" i="2"/>
  <c r="F59" i="2"/>
  <c r="Q58" i="2"/>
  <c r="N58" i="2"/>
  <c r="M58" i="2"/>
  <c r="J58" i="2"/>
  <c r="I58" i="2"/>
  <c r="F58" i="2"/>
  <c r="Q57" i="2"/>
  <c r="N57" i="2"/>
  <c r="M57" i="2"/>
  <c r="J57" i="2"/>
  <c r="I57" i="2"/>
  <c r="F57" i="2"/>
  <c r="Q56" i="2"/>
  <c r="N56" i="2"/>
  <c r="M56" i="2"/>
  <c r="J56" i="2"/>
  <c r="I56" i="2"/>
  <c r="F56" i="2"/>
  <c r="Q55" i="2"/>
  <c r="N55" i="2"/>
  <c r="M55" i="2"/>
  <c r="J55" i="2"/>
  <c r="I55" i="2"/>
  <c r="F55" i="2"/>
  <c r="Q54" i="2"/>
  <c r="N54" i="2"/>
  <c r="M54" i="2"/>
  <c r="J54" i="2"/>
  <c r="I54" i="2"/>
  <c r="F54" i="2"/>
  <c r="Q53" i="2"/>
  <c r="N53" i="2"/>
  <c r="M53" i="2"/>
  <c r="J53" i="2"/>
  <c r="I53" i="2"/>
  <c r="F53" i="2"/>
  <c r="Q52" i="2"/>
  <c r="N52" i="2"/>
  <c r="M52" i="2"/>
  <c r="J52" i="2"/>
  <c r="I52" i="2"/>
  <c r="F52" i="2"/>
  <c r="Q51" i="2"/>
  <c r="N51" i="2"/>
  <c r="M51" i="2"/>
  <c r="J51" i="2"/>
  <c r="I51" i="2"/>
  <c r="F51" i="2"/>
  <c r="Q50" i="2"/>
  <c r="N50" i="2"/>
  <c r="M50" i="2"/>
  <c r="J50" i="2"/>
  <c r="I50" i="2"/>
  <c r="F50" i="2"/>
  <c r="Q49" i="2"/>
  <c r="N49" i="2"/>
  <c r="M49" i="2"/>
  <c r="J49" i="2"/>
  <c r="I49" i="2"/>
  <c r="F49" i="2"/>
  <c r="Q48" i="2"/>
  <c r="N48" i="2"/>
  <c r="M48" i="2"/>
  <c r="J48" i="2"/>
  <c r="I48" i="2"/>
  <c r="F48" i="2"/>
  <c r="Q47" i="2"/>
  <c r="N47" i="2"/>
  <c r="M47" i="2"/>
  <c r="J47" i="2"/>
  <c r="I47" i="2"/>
  <c r="F47" i="2"/>
  <c r="Q46" i="2"/>
  <c r="N46" i="2"/>
  <c r="M46" i="2"/>
  <c r="J46" i="2"/>
  <c r="I46" i="2"/>
  <c r="F46" i="2"/>
  <c r="Q45" i="2"/>
  <c r="N45" i="2"/>
  <c r="M45" i="2"/>
  <c r="J45" i="2"/>
  <c r="I45" i="2"/>
  <c r="F45" i="2"/>
  <c r="Q44" i="2"/>
  <c r="N44" i="2"/>
  <c r="M44" i="2"/>
  <c r="J44" i="2"/>
  <c r="I44" i="2"/>
  <c r="F44" i="2"/>
  <c r="D44" i="2"/>
  <c r="Q43" i="2"/>
  <c r="N43" i="2"/>
  <c r="M43" i="2"/>
  <c r="J43" i="2"/>
  <c r="I43" i="2"/>
  <c r="F43" i="2"/>
  <c r="Q42" i="2"/>
  <c r="N42" i="2"/>
  <c r="M42" i="2"/>
  <c r="J42" i="2"/>
  <c r="I42" i="2"/>
  <c r="F42" i="2"/>
  <c r="D42" i="2"/>
  <c r="C42" i="2"/>
  <c r="B42" i="2"/>
  <c r="Q41" i="2"/>
  <c r="N41" i="2"/>
  <c r="M41" i="2"/>
  <c r="J41" i="2"/>
  <c r="I41" i="2"/>
  <c r="F41" i="2"/>
  <c r="D41" i="2"/>
  <c r="C41" i="2"/>
  <c r="Q40" i="2"/>
  <c r="N40" i="2"/>
  <c r="M40" i="2"/>
  <c r="J40" i="2"/>
  <c r="I40" i="2"/>
  <c r="F40" i="2"/>
  <c r="D40" i="2"/>
  <c r="C40" i="2"/>
  <c r="Q39" i="2"/>
  <c r="N39" i="2"/>
  <c r="M39" i="2"/>
  <c r="J39" i="2"/>
  <c r="I39" i="2"/>
  <c r="F39" i="2"/>
  <c r="D39" i="2"/>
  <c r="C39" i="2"/>
  <c r="Q38" i="2"/>
  <c r="M38" i="2"/>
  <c r="I38" i="2"/>
  <c r="D38" i="2"/>
  <c r="C38" i="2"/>
  <c r="B38" i="2"/>
  <c r="D37" i="2"/>
  <c r="B37" i="2"/>
  <c r="D36" i="2"/>
  <c r="C36" i="2"/>
  <c r="Q35" i="2"/>
  <c r="M35" i="2"/>
  <c r="I35" i="2"/>
  <c r="D35" i="2"/>
  <c r="C35" i="2"/>
  <c r="B35" i="2"/>
  <c r="Q34" i="2"/>
  <c r="N34" i="2"/>
  <c r="M34" i="2"/>
  <c r="J34" i="2"/>
  <c r="I34" i="2"/>
  <c r="D34" i="2"/>
  <c r="B34" i="2"/>
  <c r="Q33" i="2"/>
  <c r="N33" i="2"/>
  <c r="M33" i="2"/>
  <c r="J33" i="2"/>
  <c r="I33" i="2"/>
  <c r="F33" i="2"/>
  <c r="D33" i="2"/>
  <c r="B33" i="2"/>
  <c r="Q32" i="2"/>
  <c r="N32" i="2"/>
  <c r="M32" i="2"/>
  <c r="J32" i="2"/>
  <c r="I32" i="2"/>
  <c r="F32" i="2"/>
  <c r="B32" i="2"/>
  <c r="Q31" i="2"/>
  <c r="N31" i="2"/>
  <c r="M31" i="2"/>
  <c r="J31" i="2"/>
  <c r="I31" i="2"/>
  <c r="F31" i="2"/>
  <c r="B31" i="2"/>
  <c r="Q30" i="2"/>
  <c r="N30" i="2"/>
  <c r="M30" i="2"/>
  <c r="J30" i="2"/>
  <c r="I30" i="2"/>
  <c r="F30" i="2"/>
  <c r="Q29" i="2"/>
  <c r="N29" i="2"/>
  <c r="M29" i="2"/>
  <c r="J29" i="2"/>
  <c r="I29" i="2"/>
  <c r="F29" i="2"/>
  <c r="Q28" i="2"/>
  <c r="N28" i="2"/>
  <c r="M28" i="2"/>
  <c r="J28" i="2"/>
  <c r="I28" i="2"/>
  <c r="F28" i="2"/>
  <c r="Q27" i="2"/>
  <c r="N27" i="2"/>
  <c r="M27" i="2"/>
  <c r="J27" i="2"/>
  <c r="I27" i="2"/>
  <c r="F27" i="2"/>
  <c r="Q26" i="2"/>
  <c r="N26" i="2"/>
  <c r="M26" i="2"/>
  <c r="J26" i="2"/>
  <c r="I26" i="2"/>
  <c r="F26" i="2"/>
  <c r="Q25" i="2"/>
  <c r="N25" i="2"/>
  <c r="M25" i="2"/>
  <c r="J25" i="2"/>
  <c r="I25" i="2"/>
  <c r="F25" i="2"/>
  <c r="Q24" i="2"/>
  <c r="N24" i="2"/>
  <c r="M24" i="2"/>
  <c r="J24" i="2"/>
  <c r="I24" i="2"/>
  <c r="F24" i="2"/>
  <c r="Q23" i="2"/>
  <c r="N23" i="2"/>
  <c r="M23" i="2"/>
  <c r="J23" i="2"/>
  <c r="I23" i="2"/>
  <c r="F23" i="2"/>
  <c r="Q22" i="2"/>
  <c r="N22" i="2"/>
  <c r="M22" i="2"/>
  <c r="J22" i="2"/>
  <c r="I22" i="2"/>
  <c r="F22" i="2"/>
  <c r="Q21" i="2"/>
  <c r="N21" i="2"/>
  <c r="M21" i="2"/>
  <c r="J21" i="2"/>
  <c r="I21" i="2"/>
  <c r="F21" i="2"/>
  <c r="Q20" i="2"/>
  <c r="N20" i="2"/>
  <c r="M20" i="2"/>
  <c r="J20" i="2"/>
  <c r="I20" i="2"/>
  <c r="F20" i="2"/>
  <c r="Q19" i="2"/>
  <c r="N19" i="2"/>
  <c r="M19" i="2"/>
  <c r="J19" i="2"/>
  <c r="I19" i="2"/>
  <c r="F19" i="2"/>
  <c r="Q18" i="2"/>
  <c r="N18" i="2"/>
  <c r="M18" i="2"/>
  <c r="J18" i="2"/>
  <c r="I18" i="2"/>
  <c r="F18" i="2"/>
  <c r="Q17" i="2"/>
  <c r="N17" i="2"/>
  <c r="M17" i="2"/>
  <c r="J17" i="2"/>
  <c r="I17" i="2"/>
  <c r="F17" i="2"/>
  <c r="Q16" i="2"/>
  <c r="N16" i="2"/>
  <c r="M16" i="2"/>
  <c r="J16" i="2"/>
  <c r="I16" i="2"/>
  <c r="F16" i="2"/>
  <c r="Q15" i="2"/>
  <c r="N15" i="2"/>
  <c r="M15" i="2"/>
  <c r="J15" i="2"/>
  <c r="I15" i="2"/>
  <c r="F15" i="2"/>
  <c r="Q14" i="2"/>
  <c r="N14" i="2"/>
  <c r="M14" i="2"/>
  <c r="J14" i="2"/>
  <c r="I14" i="2"/>
  <c r="F14" i="2"/>
  <c r="Q13" i="2"/>
  <c r="N13" i="2"/>
  <c r="M13" i="2"/>
  <c r="J13" i="2"/>
  <c r="I13" i="2"/>
  <c r="F13" i="2"/>
  <c r="Q12" i="2"/>
  <c r="N12" i="2"/>
  <c r="M12" i="2"/>
  <c r="J12" i="2"/>
  <c r="I12" i="2"/>
  <c r="F12" i="2"/>
  <c r="B12" i="2"/>
  <c r="Q11" i="2"/>
  <c r="N11" i="2"/>
  <c r="M11" i="2"/>
  <c r="J11" i="2"/>
  <c r="I11" i="2"/>
  <c r="F11" i="2"/>
  <c r="B11" i="2"/>
  <c r="Q10" i="2"/>
  <c r="N10" i="2"/>
  <c r="M10" i="2"/>
  <c r="J10" i="2"/>
  <c r="I10" i="2"/>
  <c r="F10" i="2"/>
  <c r="Q9" i="2"/>
  <c r="N9" i="2"/>
  <c r="M9" i="2"/>
  <c r="J9" i="2"/>
  <c r="I9" i="2"/>
  <c r="F9" i="2"/>
  <c r="Q8" i="2"/>
  <c r="N8" i="2"/>
  <c r="M8" i="2"/>
  <c r="J8" i="2"/>
  <c r="I8" i="2"/>
  <c r="F8" i="2"/>
  <c r="Q7" i="2"/>
  <c r="N7" i="2"/>
  <c r="M7" i="2"/>
  <c r="J7" i="2"/>
  <c r="I7" i="2"/>
  <c r="F7" i="2"/>
  <c r="Q6" i="2"/>
  <c r="N6" i="2"/>
  <c r="M6" i="2"/>
  <c r="J6" i="2"/>
  <c r="I6" i="2"/>
  <c r="F6" i="2"/>
  <c r="Q5" i="2"/>
  <c r="N5" i="2"/>
  <c r="M5" i="2"/>
  <c r="J5" i="2"/>
  <c r="I5" i="2"/>
  <c r="F5" i="2"/>
  <c r="Q4" i="2"/>
  <c r="M4" i="2"/>
  <c r="I4" i="2"/>
  <c r="B2" i="2"/>
  <c r="Q69" i="3"/>
  <c r="M69" i="3"/>
  <c r="I69" i="3"/>
  <c r="Q68" i="3"/>
  <c r="M68" i="3"/>
  <c r="I68" i="3"/>
  <c r="Q67" i="3"/>
  <c r="N67" i="3"/>
  <c r="M67" i="3"/>
  <c r="I67" i="3"/>
  <c r="Q66" i="3"/>
  <c r="N66" i="3"/>
  <c r="M66" i="3"/>
  <c r="I66" i="3"/>
  <c r="Q65" i="3"/>
  <c r="N65" i="3"/>
  <c r="M65" i="3"/>
  <c r="I65" i="3"/>
  <c r="Q64" i="3"/>
  <c r="N64" i="3"/>
  <c r="M64" i="3"/>
  <c r="I64" i="3"/>
  <c r="Q63" i="3"/>
  <c r="N63" i="3"/>
  <c r="M63" i="3"/>
  <c r="I63" i="3"/>
  <c r="Q62" i="3"/>
  <c r="N62" i="3"/>
  <c r="M62" i="3"/>
  <c r="J62" i="3"/>
  <c r="I62" i="3"/>
  <c r="F62" i="3"/>
  <c r="Q61" i="3"/>
  <c r="N61" i="3"/>
  <c r="M61" i="3"/>
  <c r="J61" i="3"/>
  <c r="I61" i="3"/>
  <c r="F61" i="3"/>
  <c r="Q60" i="3"/>
  <c r="N60" i="3"/>
  <c r="M60" i="3"/>
  <c r="J60" i="3"/>
  <c r="I60" i="3"/>
  <c r="F60" i="3"/>
  <c r="Q59" i="3"/>
  <c r="N59" i="3"/>
  <c r="M59" i="3"/>
  <c r="J59" i="3"/>
  <c r="I59" i="3"/>
  <c r="F59" i="3"/>
  <c r="Q58" i="3"/>
  <c r="N58" i="3"/>
  <c r="M58" i="3"/>
  <c r="J58" i="3"/>
  <c r="I58" i="3"/>
  <c r="F58" i="3"/>
  <c r="Q57" i="3"/>
  <c r="N57" i="3"/>
  <c r="M57" i="3"/>
  <c r="J57" i="3"/>
  <c r="I57" i="3"/>
  <c r="F57" i="3"/>
  <c r="Q56" i="3"/>
  <c r="N56" i="3"/>
  <c r="M56" i="3"/>
  <c r="J56" i="3"/>
  <c r="I56" i="3"/>
  <c r="F56" i="3"/>
  <c r="Q55" i="3"/>
  <c r="N55" i="3"/>
  <c r="M55" i="3"/>
  <c r="J55" i="3"/>
  <c r="I55" i="3"/>
  <c r="F55" i="3"/>
  <c r="Q54" i="3"/>
  <c r="N54" i="3"/>
  <c r="M54" i="3"/>
  <c r="J54" i="3"/>
  <c r="I54" i="3"/>
  <c r="F54" i="3"/>
  <c r="Q53" i="3"/>
  <c r="N53" i="3"/>
  <c r="M53" i="3"/>
  <c r="J53" i="3"/>
  <c r="I53" i="3"/>
  <c r="F53" i="3"/>
  <c r="Q52" i="3"/>
  <c r="N52" i="3"/>
  <c r="M52" i="3"/>
  <c r="J52" i="3"/>
  <c r="I52" i="3"/>
  <c r="F52" i="3"/>
  <c r="Q51" i="3"/>
  <c r="N51" i="3"/>
  <c r="M51" i="3"/>
  <c r="J51" i="3"/>
  <c r="I51" i="3"/>
  <c r="F51" i="3"/>
  <c r="Q50" i="3"/>
  <c r="N50" i="3"/>
  <c r="M50" i="3"/>
  <c r="J50" i="3"/>
  <c r="I50" i="3"/>
  <c r="F50" i="3"/>
  <c r="Q49" i="3"/>
  <c r="N49" i="3"/>
  <c r="M49" i="3"/>
  <c r="J49" i="3"/>
  <c r="I49" i="3"/>
  <c r="F49" i="3"/>
  <c r="Q48" i="3"/>
  <c r="N48" i="3"/>
  <c r="M48" i="3"/>
  <c r="J48" i="3"/>
  <c r="I48" i="3"/>
  <c r="F48" i="3"/>
  <c r="Q47" i="3"/>
  <c r="N47" i="3"/>
  <c r="M47" i="3"/>
  <c r="J47" i="3"/>
  <c r="I47" i="3"/>
  <c r="F47" i="3"/>
  <c r="Q46" i="3"/>
  <c r="N46" i="3"/>
  <c r="M46" i="3"/>
  <c r="J46" i="3"/>
  <c r="I46" i="3"/>
  <c r="F46" i="3"/>
  <c r="Q45" i="3"/>
  <c r="N45" i="3"/>
  <c r="M45" i="3"/>
  <c r="J45" i="3"/>
  <c r="I45" i="3"/>
  <c r="F45" i="3"/>
  <c r="Q44" i="3"/>
  <c r="N44" i="3"/>
  <c r="M44" i="3"/>
  <c r="J44" i="3"/>
  <c r="I44" i="3"/>
  <c r="F44" i="3"/>
  <c r="D44" i="3"/>
  <c r="Q43" i="3"/>
  <c r="N43" i="3"/>
  <c r="M43" i="3"/>
  <c r="J43" i="3"/>
  <c r="I43" i="3"/>
  <c r="F43" i="3"/>
  <c r="Q42" i="3"/>
  <c r="N42" i="3"/>
  <c r="M42" i="3"/>
  <c r="J42" i="3"/>
  <c r="I42" i="3"/>
  <c r="F42" i="3"/>
  <c r="D42" i="3"/>
  <c r="C42" i="3"/>
  <c r="Q41" i="3"/>
  <c r="N41" i="3"/>
  <c r="M41" i="3"/>
  <c r="J41" i="3"/>
  <c r="I41" i="3"/>
  <c r="F41" i="3"/>
  <c r="D41" i="3"/>
  <c r="C41" i="3"/>
  <c r="B41" i="3"/>
  <c r="Q40" i="3"/>
  <c r="N40" i="3"/>
  <c r="M40" i="3"/>
  <c r="J40" i="3"/>
  <c r="I40" i="3"/>
  <c r="F40" i="3"/>
  <c r="D40" i="3"/>
  <c r="C40" i="3"/>
  <c r="Q39" i="3"/>
  <c r="N39" i="3"/>
  <c r="M39" i="3"/>
  <c r="J39" i="3"/>
  <c r="I39" i="3"/>
  <c r="F39" i="3"/>
  <c r="D39" i="3"/>
  <c r="C39" i="3"/>
  <c r="Q38" i="3"/>
  <c r="M38" i="3"/>
  <c r="I38" i="3"/>
  <c r="D38" i="3"/>
  <c r="C38" i="3"/>
  <c r="D37" i="3"/>
  <c r="B37" i="3"/>
  <c r="D36" i="3"/>
  <c r="B36" i="3"/>
  <c r="Q35" i="3"/>
  <c r="M35" i="3"/>
  <c r="I35" i="3"/>
  <c r="D35" i="3"/>
  <c r="B35" i="3"/>
  <c r="Q34" i="3"/>
  <c r="N34" i="3"/>
  <c r="M34" i="3"/>
  <c r="J34" i="3"/>
  <c r="I34" i="3"/>
  <c r="D34" i="3"/>
  <c r="B34" i="3"/>
  <c r="Q33" i="3"/>
  <c r="N33" i="3"/>
  <c r="M33" i="3"/>
  <c r="J33" i="3"/>
  <c r="I33" i="3"/>
  <c r="F33" i="3"/>
  <c r="D33" i="3"/>
  <c r="B33" i="3"/>
  <c r="Q32" i="3"/>
  <c r="N32" i="3"/>
  <c r="M32" i="3"/>
  <c r="J32" i="3"/>
  <c r="I32" i="3"/>
  <c r="F32" i="3"/>
  <c r="B32" i="3"/>
  <c r="Q31" i="3"/>
  <c r="N31" i="3"/>
  <c r="M31" i="3"/>
  <c r="J31" i="3"/>
  <c r="I31" i="3"/>
  <c r="F31" i="3"/>
  <c r="B31" i="3"/>
  <c r="Q30" i="3"/>
  <c r="N30" i="3"/>
  <c r="M30" i="3"/>
  <c r="J30" i="3"/>
  <c r="I30" i="3"/>
  <c r="F30" i="3"/>
  <c r="Q29" i="3"/>
  <c r="N29" i="3"/>
  <c r="M29" i="3"/>
  <c r="J29" i="3"/>
  <c r="I29" i="3"/>
  <c r="F29" i="3"/>
  <c r="Q28" i="3"/>
  <c r="N28" i="3"/>
  <c r="M28" i="3"/>
  <c r="J28" i="3"/>
  <c r="I28" i="3"/>
  <c r="F28" i="3"/>
  <c r="Q27" i="3"/>
  <c r="N27" i="3"/>
  <c r="M27" i="3"/>
  <c r="J27" i="3"/>
  <c r="I27" i="3"/>
  <c r="F27" i="3"/>
  <c r="Q26" i="3"/>
  <c r="N26" i="3"/>
  <c r="M26" i="3"/>
  <c r="J26" i="3"/>
  <c r="I26" i="3"/>
  <c r="F26" i="3"/>
  <c r="Q25" i="3"/>
  <c r="N25" i="3"/>
  <c r="M25" i="3"/>
  <c r="J25" i="3"/>
  <c r="I25" i="3"/>
  <c r="F25" i="3"/>
  <c r="Q24" i="3"/>
  <c r="N24" i="3"/>
  <c r="M24" i="3"/>
  <c r="J24" i="3"/>
  <c r="I24" i="3"/>
  <c r="F24" i="3"/>
  <c r="Q23" i="3"/>
  <c r="N23" i="3"/>
  <c r="M23" i="3"/>
  <c r="J23" i="3"/>
  <c r="I23" i="3"/>
  <c r="F23" i="3"/>
  <c r="Q22" i="3"/>
  <c r="N22" i="3"/>
  <c r="M22" i="3"/>
  <c r="J22" i="3"/>
  <c r="I22" i="3"/>
  <c r="F22" i="3"/>
  <c r="Q21" i="3"/>
  <c r="N21" i="3"/>
  <c r="M21" i="3"/>
  <c r="J21" i="3"/>
  <c r="I21" i="3"/>
  <c r="F21" i="3"/>
  <c r="Q20" i="3"/>
  <c r="N20" i="3"/>
  <c r="M20" i="3"/>
  <c r="J20" i="3"/>
  <c r="I20" i="3"/>
  <c r="F20" i="3"/>
  <c r="Q19" i="3"/>
  <c r="N19" i="3"/>
  <c r="M19" i="3"/>
  <c r="J19" i="3"/>
  <c r="I19" i="3"/>
  <c r="F19" i="3"/>
  <c r="Q18" i="3"/>
  <c r="N18" i="3"/>
  <c r="M18" i="3"/>
  <c r="J18" i="3"/>
  <c r="I18" i="3"/>
  <c r="F18" i="3"/>
  <c r="Q17" i="3"/>
  <c r="N17" i="3"/>
  <c r="M17" i="3"/>
  <c r="J17" i="3"/>
  <c r="I17" i="3"/>
  <c r="F17" i="3"/>
  <c r="Q16" i="3"/>
  <c r="N16" i="3"/>
  <c r="M16" i="3"/>
  <c r="J16" i="3"/>
  <c r="I16" i="3"/>
  <c r="F16" i="3"/>
  <c r="Q15" i="3"/>
  <c r="N15" i="3"/>
  <c r="M15" i="3"/>
  <c r="J15" i="3"/>
  <c r="I15" i="3"/>
  <c r="F15" i="3"/>
  <c r="Q14" i="3"/>
  <c r="N14" i="3"/>
  <c r="M14" i="3"/>
  <c r="J14" i="3"/>
  <c r="I14" i="3"/>
  <c r="F14" i="3"/>
  <c r="Q13" i="3"/>
  <c r="N13" i="3"/>
  <c r="M13" i="3"/>
  <c r="J13" i="3"/>
  <c r="I13" i="3"/>
  <c r="F13" i="3"/>
  <c r="Q12" i="3"/>
  <c r="N12" i="3"/>
  <c r="M12" i="3"/>
  <c r="J12" i="3"/>
  <c r="I12" i="3"/>
  <c r="F12" i="3"/>
  <c r="Q11" i="3"/>
  <c r="N11" i="3"/>
  <c r="M11" i="3"/>
  <c r="J11" i="3"/>
  <c r="I11" i="3"/>
  <c r="F11" i="3"/>
  <c r="B11" i="3"/>
  <c r="Q10" i="3"/>
  <c r="N10" i="3"/>
  <c r="M10" i="3"/>
  <c r="J10" i="3"/>
  <c r="I10" i="3"/>
  <c r="F10" i="3"/>
  <c r="B10" i="3"/>
  <c r="Q9" i="3"/>
  <c r="N9" i="3"/>
  <c r="M9" i="3"/>
  <c r="J9" i="3"/>
  <c r="I9" i="3"/>
  <c r="F9" i="3"/>
  <c r="Q8" i="3"/>
  <c r="N8" i="3"/>
  <c r="M8" i="3"/>
  <c r="J8" i="3"/>
  <c r="I8" i="3"/>
  <c r="F8" i="3"/>
  <c r="Q7" i="3"/>
  <c r="N7" i="3"/>
  <c r="M7" i="3"/>
  <c r="J7" i="3"/>
  <c r="I7" i="3"/>
  <c r="F7" i="3"/>
  <c r="Q6" i="3"/>
  <c r="N6" i="3"/>
  <c r="M6" i="3"/>
  <c r="J6" i="3"/>
  <c r="I6" i="3"/>
  <c r="F6" i="3"/>
  <c r="Q5" i="3"/>
  <c r="N5" i="3"/>
  <c r="M5" i="3"/>
  <c r="J5" i="3"/>
  <c r="I5" i="3"/>
  <c r="F5" i="3"/>
  <c r="Q4" i="3"/>
  <c r="M4" i="3"/>
  <c r="I4" i="3"/>
  <c r="B2" i="3"/>
  <c r="Q69" i="4"/>
  <c r="M69" i="4"/>
  <c r="I69" i="4"/>
  <c r="Q68" i="4"/>
  <c r="M68" i="4"/>
  <c r="I68" i="4"/>
  <c r="Q67" i="4"/>
  <c r="N67" i="4"/>
  <c r="M67" i="4"/>
  <c r="I67" i="4"/>
  <c r="Q66" i="4"/>
  <c r="N66" i="4"/>
  <c r="M66" i="4"/>
  <c r="I66" i="4"/>
  <c r="Q65" i="4"/>
  <c r="N65" i="4"/>
  <c r="M65" i="4"/>
  <c r="I65" i="4"/>
  <c r="Q64" i="4"/>
  <c r="N64" i="4"/>
  <c r="M64" i="4"/>
  <c r="I64" i="4"/>
  <c r="Q63" i="4"/>
  <c r="N63" i="4"/>
  <c r="M63" i="4"/>
  <c r="I63" i="4"/>
  <c r="Q62" i="4"/>
  <c r="N62" i="4"/>
  <c r="M62" i="4"/>
  <c r="J62" i="4"/>
  <c r="I62" i="4"/>
  <c r="F62" i="4"/>
  <c r="Q61" i="4"/>
  <c r="N61" i="4"/>
  <c r="M61" i="4"/>
  <c r="J61" i="4"/>
  <c r="I61" i="4"/>
  <c r="F61" i="4"/>
  <c r="Q60" i="4"/>
  <c r="N60" i="4"/>
  <c r="M60" i="4"/>
  <c r="J60" i="4"/>
  <c r="I60" i="4"/>
  <c r="F60" i="4"/>
  <c r="B60" i="4"/>
  <c r="Q59" i="4"/>
  <c r="N59" i="4"/>
  <c r="M59" i="4"/>
  <c r="J59" i="4"/>
  <c r="I59" i="4"/>
  <c r="F59" i="4"/>
  <c r="Q58" i="4"/>
  <c r="N58" i="4"/>
  <c r="M58" i="4"/>
  <c r="J58" i="4"/>
  <c r="I58" i="4"/>
  <c r="F58" i="4"/>
  <c r="Q57" i="4"/>
  <c r="N57" i="4"/>
  <c r="M57" i="4"/>
  <c r="J57" i="4"/>
  <c r="I57" i="4"/>
  <c r="F57" i="4"/>
  <c r="B57" i="4"/>
  <c r="Q56" i="4"/>
  <c r="N56" i="4"/>
  <c r="M56" i="4"/>
  <c r="J56" i="4"/>
  <c r="I56" i="4"/>
  <c r="F56" i="4"/>
  <c r="Q55" i="4"/>
  <c r="N55" i="4"/>
  <c r="M55" i="4"/>
  <c r="J55" i="4"/>
  <c r="I55" i="4"/>
  <c r="F55" i="4"/>
  <c r="Q54" i="4"/>
  <c r="N54" i="4"/>
  <c r="M54" i="4"/>
  <c r="J54" i="4"/>
  <c r="I54" i="4"/>
  <c r="F54" i="4"/>
  <c r="Q53" i="4"/>
  <c r="N53" i="4"/>
  <c r="M53" i="4"/>
  <c r="J53" i="4"/>
  <c r="I53" i="4"/>
  <c r="F53" i="4"/>
  <c r="Q52" i="4"/>
  <c r="N52" i="4"/>
  <c r="M52" i="4"/>
  <c r="J52" i="4"/>
  <c r="I52" i="4"/>
  <c r="F52" i="4"/>
  <c r="Q51" i="4"/>
  <c r="N51" i="4"/>
  <c r="M51" i="4"/>
  <c r="J51" i="4"/>
  <c r="I51" i="4"/>
  <c r="F51" i="4"/>
  <c r="Q50" i="4"/>
  <c r="N50" i="4"/>
  <c r="M50" i="4"/>
  <c r="J50" i="4"/>
  <c r="I50" i="4"/>
  <c r="F50" i="4"/>
  <c r="Q49" i="4"/>
  <c r="N49" i="4"/>
  <c r="M49" i="4"/>
  <c r="J49" i="4"/>
  <c r="I49" i="4"/>
  <c r="F49" i="4"/>
  <c r="Q48" i="4"/>
  <c r="N48" i="4"/>
  <c r="M48" i="4"/>
  <c r="J48" i="4"/>
  <c r="I48" i="4"/>
  <c r="F48" i="4"/>
  <c r="Q47" i="4"/>
  <c r="N47" i="4"/>
  <c r="M47" i="4"/>
  <c r="J47" i="4"/>
  <c r="I47" i="4"/>
  <c r="F47" i="4"/>
  <c r="Q46" i="4"/>
  <c r="N46" i="4"/>
  <c r="M46" i="4"/>
  <c r="J46" i="4"/>
  <c r="I46" i="4"/>
  <c r="F46" i="4"/>
  <c r="Q45" i="4"/>
  <c r="N45" i="4"/>
  <c r="M45" i="4"/>
  <c r="J45" i="4"/>
  <c r="I45" i="4"/>
  <c r="F45" i="4"/>
  <c r="Q44" i="4"/>
  <c r="N44" i="4"/>
  <c r="M44" i="4"/>
  <c r="J44" i="4"/>
  <c r="I44" i="4"/>
  <c r="F44" i="4"/>
  <c r="Q43" i="4"/>
  <c r="N43" i="4"/>
  <c r="M43" i="4"/>
  <c r="J43" i="4"/>
  <c r="I43" i="4"/>
  <c r="F43" i="4"/>
  <c r="Q42" i="4"/>
  <c r="N42" i="4"/>
  <c r="M42" i="4"/>
  <c r="J42" i="4"/>
  <c r="I42" i="4"/>
  <c r="F42" i="4"/>
  <c r="D42" i="4"/>
  <c r="Q41" i="4"/>
  <c r="N41" i="4"/>
  <c r="M41" i="4"/>
  <c r="J41" i="4"/>
  <c r="I41" i="4"/>
  <c r="F41" i="4"/>
  <c r="D41" i="4"/>
  <c r="Q40" i="4"/>
  <c r="N40" i="4"/>
  <c r="M40" i="4"/>
  <c r="J40" i="4"/>
  <c r="I40" i="4"/>
  <c r="F40" i="4"/>
  <c r="Q39" i="4"/>
  <c r="N39" i="4"/>
  <c r="M39" i="4"/>
  <c r="J39" i="4"/>
  <c r="I39" i="4"/>
  <c r="F39" i="4"/>
  <c r="D39" i="4"/>
  <c r="C39" i="4"/>
  <c r="Q38" i="4"/>
  <c r="M38" i="4"/>
  <c r="I38" i="4"/>
  <c r="D38" i="4"/>
  <c r="C38" i="4"/>
  <c r="B38" i="4"/>
  <c r="D37" i="4"/>
  <c r="C37" i="4"/>
  <c r="B37" i="4"/>
  <c r="D36" i="4"/>
  <c r="C36" i="4"/>
  <c r="B36" i="4"/>
  <c r="Q35" i="4"/>
  <c r="M35" i="4"/>
  <c r="I35" i="4"/>
  <c r="D35" i="4"/>
  <c r="C35" i="4"/>
  <c r="B35" i="4"/>
  <c r="Q34" i="4"/>
  <c r="N34" i="4"/>
  <c r="M34" i="4"/>
  <c r="J34" i="4"/>
  <c r="I34" i="4"/>
  <c r="D34" i="4"/>
  <c r="C34" i="4"/>
  <c r="B34" i="4"/>
  <c r="Q33" i="4"/>
  <c r="N33" i="4"/>
  <c r="M33" i="4"/>
  <c r="J33" i="4"/>
  <c r="I33" i="4"/>
  <c r="F33" i="4"/>
  <c r="D33" i="4"/>
  <c r="C33" i="4"/>
  <c r="B33" i="4"/>
  <c r="Q32" i="4"/>
  <c r="N32" i="4"/>
  <c r="M32" i="4"/>
  <c r="J32" i="4"/>
  <c r="I32" i="4"/>
  <c r="F32" i="4"/>
  <c r="D32" i="4"/>
  <c r="B32" i="4"/>
  <c r="Q31" i="4"/>
  <c r="N31" i="4"/>
  <c r="M31" i="4"/>
  <c r="J31" i="4"/>
  <c r="I31" i="4"/>
  <c r="F31" i="4"/>
  <c r="D31" i="4"/>
  <c r="C31" i="4"/>
  <c r="B31" i="4"/>
  <c r="Q30" i="4"/>
  <c r="N30" i="4"/>
  <c r="M30" i="4"/>
  <c r="J30" i="4"/>
  <c r="I30" i="4"/>
  <c r="F30" i="4"/>
  <c r="D30" i="4"/>
  <c r="B30" i="4"/>
  <c r="Q29" i="4"/>
  <c r="N29" i="4"/>
  <c r="M29" i="4"/>
  <c r="J29" i="4"/>
  <c r="I29" i="4"/>
  <c r="F29" i="4"/>
  <c r="D29" i="4"/>
  <c r="C29" i="4"/>
  <c r="B29" i="4"/>
  <c r="Q28" i="4"/>
  <c r="N28" i="4"/>
  <c r="M28" i="4"/>
  <c r="J28" i="4"/>
  <c r="I28" i="4"/>
  <c r="F28" i="4"/>
  <c r="D28" i="4"/>
  <c r="B28" i="4"/>
  <c r="Q27" i="4"/>
  <c r="N27" i="4"/>
  <c r="M27" i="4"/>
  <c r="J27" i="4"/>
  <c r="I27" i="4"/>
  <c r="F27" i="4"/>
  <c r="D27" i="4"/>
  <c r="C27" i="4"/>
  <c r="B27" i="4"/>
  <c r="Q26" i="4"/>
  <c r="N26" i="4"/>
  <c r="M26" i="4"/>
  <c r="J26" i="4"/>
  <c r="I26" i="4"/>
  <c r="F26" i="4"/>
  <c r="D26" i="4"/>
  <c r="C26" i="4"/>
  <c r="B26" i="4"/>
  <c r="Q25" i="4"/>
  <c r="N25" i="4"/>
  <c r="M25" i="4"/>
  <c r="J25" i="4"/>
  <c r="I25" i="4"/>
  <c r="F25" i="4"/>
  <c r="D25" i="4"/>
  <c r="C25" i="4"/>
  <c r="B25" i="4"/>
  <c r="Q24" i="4"/>
  <c r="N24" i="4"/>
  <c r="M24" i="4"/>
  <c r="J24" i="4"/>
  <c r="I24" i="4"/>
  <c r="F24" i="4"/>
  <c r="D24" i="4"/>
  <c r="C24" i="4"/>
  <c r="B24" i="4"/>
  <c r="Q23" i="4"/>
  <c r="N23" i="4"/>
  <c r="M23" i="4"/>
  <c r="J23" i="4"/>
  <c r="I23" i="4"/>
  <c r="F23" i="4"/>
  <c r="B23" i="4"/>
  <c r="Q22" i="4"/>
  <c r="N22" i="4"/>
  <c r="M22" i="4"/>
  <c r="J22" i="4"/>
  <c r="I22" i="4"/>
  <c r="F22" i="4"/>
  <c r="B22" i="4"/>
  <c r="Q21" i="4"/>
  <c r="N21" i="4"/>
  <c r="M21" i="4"/>
  <c r="J21" i="4"/>
  <c r="I21" i="4"/>
  <c r="F21" i="4"/>
  <c r="Q20" i="4"/>
  <c r="N20" i="4"/>
  <c r="M20" i="4"/>
  <c r="J20" i="4"/>
  <c r="I20" i="4"/>
  <c r="F20" i="4"/>
  <c r="Q19" i="4"/>
  <c r="N19" i="4"/>
  <c r="M19" i="4"/>
  <c r="J19" i="4"/>
  <c r="I19" i="4"/>
  <c r="F19" i="4"/>
  <c r="Q18" i="4"/>
  <c r="N18" i="4"/>
  <c r="M18" i="4"/>
  <c r="J18" i="4"/>
  <c r="I18" i="4"/>
  <c r="F18" i="4"/>
  <c r="Q17" i="4"/>
  <c r="N17" i="4"/>
  <c r="M17" i="4"/>
  <c r="J17" i="4"/>
  <c r="I17" i="4"/>
  <c r="F17" i="4"/>
  <c r="Q16" i="4"/>
  <c r="N16" i="4"/>
  <c r="M16" i="4"/>
  <c r="J16" i="4"/>
  <c r="I16" i="4"/>
  <c r="F16" i="4"/>
  <c r="Q15" i="4"/>
  <c r="N15" i="4"/>
  <c r="M15" i="4"/>
  <c r="J15" i="4"/>
  <c r="I15" i="4"/>
  <c r="F15" i="4"/>
  <c r="Q14" i="4"/>
  <c r="N14" i="4"/>
  <c r="M14" i="4"/>
  <c r="J14" i="4"/>
  <c r="I14" i="4"/>
  <c r="F14" i="4"/>
  <c r="Q13" i="4"/>
  <c r="N13" i="4"/>
  <c r="M13" i="4"/>
  <c r="J13" i="4"/>
  <c r="I13" i="4"/>
  <c r="F13" i="4"/>
  <c r="Q12" i="4"/>
  <c r="N12" i="4"/>
  <c r="M12" i="4"/>
  <c r="J12" i="4"/>
  <c r="I12" i="4"/>
  <c r="F12" i="4"/>
  <c r="B12" i="4"/>
  <c r="Q11" i="4"/>
  <c r="N11" i="4"/>
  <c r="M11" i="4"/>
  <c r="J11" i="4"/>
  <c r="I11" i="4"/>
  <c r="F11" i="4"/>
  <c r="B11" i="4"/>
  <c r="Q10" i="4"/>
  <c r="N10" i="4"/>
  <c r="M10" i="4"/>
  <c r="J10" i="4"/>
  <c r="I10" i="4"/>
  <c r="F10" i="4"/>
  <c r="B10" i="4"/>
  <c r="Q9" i="4"/>
  <c r="N9" i="4"/>
  <c r="M9" i="4"/>
  <c r="J9" i="4"/>
  <c r="I9" i="4"/>
  <c r="F9" i="4"/>
  <c r="Q8" i="4"/>
  <c r="N8" i="4"/>
  <c r="M8" i="4"/>
  <c r="J8" i="4"/>
  <c r="I8" i="4"/>
  <c r="F8" i="4"/>
  <c r="Q7" i="4"/>
  <c r="N7" i="4"/>
  <c r="M7" i="4"/>
  <c r="J7" i="4"/>
  <c r="I7" i="4"/>
  <c r="F7" i="4"/>
  <c r="Q6" i="4"/>
  <c r="N6" i="4"/>
  <c r="M6" i="4"/>
  <c r="J6" i="4"/>
  <c r="I6" i="4"/>
  <c r="F6" i="4"/>
  <c r="Q5" i="4"/>
  <c r="N5" i="4"/>
  <c r="M5" i="4"/>
  <c r="J5" i="4"/>
  <c r="I5" i="4"/>
  <c r="F5" i="4"/>
  <c r="Q4" i="4"/>
  <c r="M4" i="4"/>
  <c r="I4" i="4"/>
  <c r="B2" i="4"/>
  <c r="Q69" i="5"/>
  <c r="M69" i="5"/>
  <c r="I69" i="5"/>
  <c r="Q68" i="5"/>
  <c r="M68" i="5"/>
  <c r="I68" i="5"/>
  <c r="Q67" i="5"/>
  <c r="N67" i="5"/>
  <c r="M67" i="5"/>
  <c r="I67" i="5"/>
  <c r="B67" i="5"/>
  <c r="Q66" i="5"/>
  <c r="N66" i="5"/>
  <c r="M66" i="5"/>
  <c r="I66" i="5"/>
  <c r="Q65" i="5"/>
  <c r="N65" i="5"/>
  <c r="M65" i="5"/>
  <c r="I65" i="5"/>
  <c r="Q64" i="5"/>
  <c r="N64" i="5"/>
  <c r="M64" i="5"/>
  <c r="I64" i="5"/>
  <c r="B64" i="5"/>
  <c r="Q63" i="5"/>
  <c r="N63" i="5"/>
  <c r="M63" i="5"/>
  <c r="I63" i="5"/>
  <c r="Q62" i="5"/>
  <c r="N62" i="5"/>
  <c r="M62" i="5"/>
  <c r="J62" i="5"/>
  <c r="I62" i="5"/>
  <c r="F62" i="5"/>
  <c r="Q61" i="5"/>
  <c r="N61" i="5"/>
  <c r="M61" i="5"/>
  <c r="J61" i="5"/>
  <c r="I61" i="5"/>
  <c r="F61" i="5"/>
  <c r="Q60" i="5"/>
  <c r="N60" i="5"/>
  <c r="M60" i="5"/>
  <c r="J60" i="5"/>
  <c r="I60" i="5"/>
  <c r="F60" i="5"/>
  <c r="Q59" i="5"/>
  <c r="N59" i="5"/>
  <c r="M59" i="5"/>
  <c r="J59" i="5"/>
  <c r="I59" i="5"/>
  <c r="F59" i="5"/>
  <c r="Q58" i="5"/>
  <c r="N58" i="5"/>
  <c r="M58" i="5"/>
  <c r="J58" i="5"/>
  <c r="I58" i="5"/>
  <c r="F58" i="5"/>
  <c r="Q57" i="5"/>
  <c r="N57" i="5"/>
  <c r="M57" i="5"/>
  <c r="J57" i="5"/>
  <c r="I57" i="5"/>
  <c r="F57" i="5"/>
  <c r="Q56" i="5"/>
  <c r="N56" i="5"/>
  <c r="M56" i="5"/>
  <c r="J56" i="5"/>
  <c r="I56" i="5"/>
  <c r="F56" i="5"/>
  <c r="Q55" i="5"/>
  <c r="N55" i="5"/>
  <c r="M55" i="5"/>
  <c r="J55" i="5"/>
  <c r="I55" i="5"/>
  <c r="F55" i="5"/>
  <c r="Q54" i="5"/>
  <c r="N54" i="5"/>
  <c r="M54" i="5"/>
  <c r="J54" i="5"/>
  <c r="I54" i="5"/>
  <c r="F54" i="5"/>
  <c r="Q53" i="5"/>
  <c r="N53" i="5"/>
  <c r="M53" i="5"/>
  <c r="J53" i="5"/>
  <c r="I53" i="5"/>
  <c r="F53" i="5"/>
  <c r="Q52" i="5"/>
  <c r="N52" i="5"/>
  <c r="M52" i="5"/>
  <c r="J52" i="5"/>
  <c r="I52" i="5"/>
  <c r="F52" i="5"/>
  <c r="Q51" i="5"/>
  <c r="N51" i="5"/>
  <c r="M51" i="5"/>
  <c r="J51" i="5"/>
  <c r="I51" i="5"/>
  <c r="F51" i="5"/>
  <c r="Q50" i="5"/>
  <c r="N50" i="5"/>
  <c r="M50" i="5"/>
  <c r="J50" i="5"/>
  <c r="I50" i="5"/>
  <c r="F50" i="5"/>
  <c r="Q49" i="5"/>
  <c r="N49" i="5"/>
  <c r="M49" i="5"/>
  <c r="J49" i="5"/>
  <c r="I49" i="5"/>
  <c r="F49" i="5"/>
  <c r="D49" i="5"/>
  <c r="Q48" i="5"/>
  <c r="N48" i="5"/>
  <c r="M48" i="5"/>
  <c r="J48" i="5"/>
  <c r="I48" i="5"/>
  <c r="F48" i="5"/>
  <c r="D48" i="5"/>
  <c r="Q47" i="5"/>
  <c r="N47" i="5"/>
  <c r="M47" i="5"/>
  <c r="J47" i="5"/>
  <c r="I47" i="5"/>
  <c r="F47" i="5"/>
  <c r="Q46" i="5"/>
  <c r="N46" i="5"/>
  <c r="M46" i="5"/>
  <c r="J46" i="5"/>
  <c r="I46" i="5"/>
  <c r="F46" i="5"/>
  <c r="D46" i="5"/>
  <c r="B46" i="5"/>
  <c r="Q45" i="5"/>
  <c r="N45" i="5"/>
  <c r="M45" i="5"/>
  <c r="J45" i="5"/>
  <c r="I45" i="5"/>
  <c r="F45" i="5"/>
  <c r="D45" i="5"/>
  <c r="C45" i="5"/>
  <c r="B45" i="5"/>
  <c r="Q44" i="5"/>
  <c r="N44" i="5"/>
  <c r="M44" i="5"/>
  <c r="J44" i="5"/>
  <c r="I44" i="5"/>
  <c r="F44" i="5"/>
  <c r="D44" i="5"/>
  <c r="C44" i="5"/>
  <c r="B44" i="5"/>
  <c r="Q43" i="5"/>
  <c r="N43" i="5"/>
  <c r="M43" i="5"/>
  <c r="J43" i="5"/>
  <c r="I43" i="5"/>
  <c r="F43" i="5"/>
  <c r="D43" i="5"/>
  <c r="C43" i="5"/>
  <c r="B43" i="5"/>
  <c r="Q42" i="5"/>
  <c r="N42" i="5"/>
  <c r="M42" i="5"/>
  <c r="J42" i="5"/>
  <c r="I42" i="5"/>
  <c r="F42" i="5"/>
  <c r="D42" i="5"/>
  <c r="C42" i="5"/>
  <c r="B42" i="5"/>
  <c r="Q41" i="5"/>
  <c r="N41" i="5"/>
  <c r="M41" i="5"/>
  <c r="J41" i="5"/>
  <c r="I41" i="5"/>
  <c r="F41" i="5"/>
  <c r="D41" i="5"/>
  <c r="C41" i="5"/>
  <c r="B41" i="5"/>
  <c r="Q40" i="5"/>
  <c r="N40" i="5"/>
  <c r="M40" i="5"/>
  <c r="J40" i="5"/>
  <c r="I40" i="5"/>
  <c r="F40" i="5"/>
  <c r="D40" i="5"/>
  <c r="C40" i="5"/>
  <c r="B40" i="5"/>
  <c r="Q39" i="5"/>
  <c r="N39" i="5"/>
  <c r="M39" i="5"/>
  <c r="J39" i="5"/>
  <c r="I39" i="5"/>
  <c r="F39" i="5"/>
  <c r="D39" i="5"/>
  <c r="C39" i="5"/>
  <c r="B39" i="5"/>
  <c r="Q38" i="5"/>
  <c r="M38" i="5"/>
  <c r="I38" i="5"/>
  <c r="D38" i="5"/>
  <c r="B38" i="5"/>
  <c r="D37" i="5"/>
  <c r="C37" i="5"/>
  <c r="B37" i="5"/>
  <c r="D36" i="5"/>
  <c r="B36" i="5"/>
  <c r="Q35" i="5"/>
  <c r="M35" i="5"/>
  <c r="I35" i="5"/>
  <c r="D35" i="5"/>
  <c r="C35" i="5"/>
  <c r="B35" i="5"/>
  <c r="Q34" i="5"/>
  <c r="N34" i="5"/>
  <c r="M34" i="5"/>
  <c r="J34" i="5"/>
  <c r="I34" i="5"/>
  <c r="D34" i="5"/>
  <c r="B34" i="5"/>
  <c r="Q33" i="5"/>
  <c r="N33" i="5"/>
  <c r="M33" i="5"/>
  <c r="J33" i="5"/>
  <c r="I33" i="5"/>
  <c r="F33" i="5"/>
  <c r="D33" i="5"/>
  <c r="C33" i="5"/>
  <c r="B33" i="5"/>
  <c r="Q32" i="5"/>
  <c r="N32" i="5"/>
  <c r="M32" i="5"/>
  <c r="J32" i="5"/>
  <c r="I32" i="5"/>
  <c r="F32" i="5"/>
  <c r="D32" i="5"/>
  <c r="C32" i="5"/>
  <c r="B32" i="5"/>
  <c r="Q31" i="5"/>
  <c r="N31" i="5"/>
  <c r="M31" i="5"/>
  <c r="J31" i="5"/>
  <c r="I31" i="5"/>
  <c r="F31" i="5"/>
  <c r="D31" i="5"/>
  <c r="C31" i="5"/>
  <c r="B31" i="5"/>
  <c r="Q30" i="5"/>
  <c r="N30" i="5"/>
  <c r="M30" i="5"/>
  <c r="J30" i="5"/>
  <c r="I30" i="5"/>
  <c r="F30" i="5"/>
  <c r="D30" i="5"/>
  <c r="C30" i="5"/>
  <c r="B30" i="5"/>
  <c r="Q29" i="5"/>
  <c r="N29" i="5"/>
  <c r="M29" i="5"/>
  <c r="J29" i="5"/>
  <c r="I29" i="5"/>
  <c r="F29" i="5"/>
  <c r="B29" i="5"/>
  <c r="Q28" i="5"/>
  <c r="N28" i="5"/>
  <c r="M28" i="5"/>
  <c r="J28" i="5"/>
  <c r="I28" i="5"/>
  <c r="F28" i="5"/>
  <c r="B28" i="5"/>
  <c r="Q27" i="5"/>
  <c r="N27" i="5"/>
  <c r="M27" i="5"/>
  <c r="J27" i="5"/>
  <c r="I27" i="5"/>
  <c r="F27" i="5"/>
  <c r="Q26" i="5"/>
  <c r="N26" i="5"/>
  <c r="M26" i="5"/>
  <c r="J26" i="5"/>
  <c r="I26" i="5"/>
  <c r="F26" i="5"/>
  <c r="Q25" i="5"/>
  <c r="N25" i="5"/>
  <c r="M25" i="5"/>
  <c r="J25" i="5"/>
  <c r="I25" i="5"/>
  <c r="F25" i="5"/>
  <c r="Q24" i="5"/>
  <c r="N24" i="5"/>
  <c r="M24" i="5"/>
  <c r="J24" i="5"/>
  <c r="I24" i="5"/>
  <c r="F24" i="5"/>
  <c r="B24" i="5"/>
  <c r="Q23" i="5"/>
  <c r="N23" i="5"/>
  <c r="M23" i="5"/>
  <c r="J23" i="5"/>
  <c r="I23" i="5"/>
  <c r="F23" i="5"/>
  <c r="B23" i="5"/>
  <c r="Q22" i="5"/>
  <c r="N22" i="5"/>
  <c r="M22" i="5"/>
  <c r="J22" i="5"/>
  <c r="I22" i="5"/>
  <c r="F22" i="5"/>
  <c r="C22" i="5"/>
  <c r="B22" i="5"/>
  <c r="Q21" i="5"/>
  <c r="N21" i="5"/>
  <c r="M21" i="5"/>
  <c r="J21" i="5"/>
  <c r="I21" i="5"/>
  <c r="F21" i="5"/>
  <c r="B21" i="5"/>
  <c r="Q20" i="5"/>
  <c r="N20" i="5"/>
  <c r="M20" i="5"/>
  <c r="J20" i="5"/>
  <c r="I20" i="5"/>
  <c r="F20" i="5"/>
  <c r="B20" i="5"/>
  <c r="Q19" i="5"/>
  <c r="N19" i="5"/>
  <c r="M19" i="5"/>
  <c r="J19" i="5"/>
  <c r="I19" i="5"/>
  <c r="F19" i="5"/>
  <c r="Q18" i="5"/>
  <c r="N18" i="5"/>
  <c r="M18" i="5"/>
  <c r="J18" i="5"/>
  <c r="I18" i="5"/>
  <c r="F18" i="5"/>
  <c r="B18" i="5"/>
  <c r="Q17" i="5"/>
  <c r="N17" i="5"/>
  <c r="M17" i="5"/>
  <c r="J17" i="5"/>
  <c r="I17" i="5"/>
  <c r="F17" i="5"/>
  <c r="B17" i="5"/>
  <c r="Q16" i="5"/>
  <c r="N16" i="5"/>
  <c r="M16" i="5"/>
  <c r="J16" i="5"/>
  <c r="I16" i="5"/>
  <c r="F16" i="5"/>
  <c r="Q15" i="5"/>
  <c r="N15" i="5"/>
  <c r="M15" i="5"/>
  <c r="J15" i="5"/>
  <c r="I15" i="5"/>
  <c r="F15" i="5"/>
  <c r="Q14" i="5"/>
  <c r="N14" i="5"/>
  <c r="M14" i="5"/>
  <c r="J14" i="5"/>
  <c r="I14" i="5"/>
  <c r="F14" i="5"/>
  <c r="B14" i="5"/>
  <c r="Q13" i="5"/>
  <c r="N13" i="5"/>
  <c r="M13" i="5"/>
  <c r="J13" i="5"/>
  <c r="I13" i="5"/>
  <c r="F13" i="5"/>
  <c r="B13" i="5"/>
  <c r="Q12" i="5"/>
  <c r="N12" i="5"/>
  <c r="M12" i="5"/>
  <c r="J12" i="5"/>
  <c r="I12" i="5"/>
  <c r="F12" i="5"/>
  <c r="B12" i="5"/>
  <c r="Q11" i="5"/>
  <c r="N11" i="5"/>
  <c r="M11" i="5"/>
  <c r="J11" i="5"/>
  <c r="I11" i="5"/>
  <c r="F11" i="5"/>
  <c r="B11" i="5"/>
  <c r="Q10" i="5"/>
  <c r="N10" i="5"/>
  <c r="M10" i="5"/>
  <c r="J10" i="5"/>
  <c r="I10" i="5"/>
  <c r="F10" i="5"/>
  <c r="Q9" i="5"/>
  <c r="N9" i="5"/>
  <c r="M9" i="5"/>
  <c r="J9" i="5"/>
  <c r="I9" i="5"/>
  <c r="F9" i="5"/>
  <c r="Q8" i="5"/>
  <c r="N8" i="5"/>
  <c r="M8" i="5"/>
  <c r="J8" i="5"/>
  <c r="I8" i="5"/>
  <c r="F8" i="5"/>
  <c r="Q7" i="5"/>
  <c r="N7" i="5"/>
  <c r="M7" i="5"/>
  <c r="J7" i="5"/>
  <c r="I7" i="5"/>
  <c r="F7" i="5"/>
  <c r="Q6" i="5"/>
  <c r="N6" i="5"/>
  <c r="M6" i="5"/>
  <c r="J6" i="5"/>
  <c r="I6" i="5"/>
  <c r="F6" i="5"/>
  <c r="Q5" i="5"/>
  <c r="N5" i="5"/>
  <c r="M5" i="5"/>
  <c r="J5" i="5"/>
  <c r="I5" i="5"/>
  <c r="F5" i="5"/>
  <c r="Q4" i="5"/>
  <c r="M4" i="5"/>
  <c r="I4" i="5"/>
  <c r="B2" i="5"/>
  <c r="P69" i="10"/>
  <c r="L69" i="10"/>
  <c r="H69" i="10"/>
  <c r="P68" i="10"/>
  <c r="L68" i="10"/>
  <c r="H68" i="10"/>
  <c r="P67" i="10"/>
  <c r="M67" i="10"/>
  <c r="L67" i="10"/>
  <c r="H67" i="10"/>
  <c r="P66" i="10"/>
  <c r="M66" i="10"/>
  <c r="L66" i="10"/>
  <c r="H66" i="10"/>
  <c r="P65" i="10"/>
  <c r="M65" i="10"/>
  <c r="L65" i="10"/>
  <c r="H65" i="10"/>
  <c r="P64" i="10"/>
  <c r="M64" i="10"/>
  <c r="L64" i="10"/>
  <c r="H64" i="10"/>
  <c r="B64" i="10"/>
  <c r="P63" i="10"/>
  <c r="M63" i="10"/>
  <c r="L63" i="10"/>
  <c r="H63" i="10"/>
  <c r="P62" i="10"/>
  <c r="M62" i="10"/>
  <c r="L62" i="10"/>
  <c r="I62" i="10"/>
  <c r="H62" i="10"/>
  <c r="E62" i="10"/>
  <c r="P61" i="10"/>
  <c r="M61" i="10"/>
  <c r="L61" i="10"/>
  <c r="I61" i="10"/>
  <c r="H61" i="10"/>
  <c r="E61" i="10"/>
  <c r="P60" i="10"/>
  <c r="M60" i="10"/>
  <c r="L60" i="10"/>
  <c r="I60" i="10"/>
  <c r="H60" i="10"/>
  <c r="E60" i="10"/>
  <c r="P59" i="10"/>
  <c r="M59" i="10"/>
  <c r="L59" i="10"/>
  <c r="I59" i="10"/>
  <c r="H59" i="10"/>
  <c r="E59" i="10"/>
  <c r="P58" i="10"/>
  <c r="M58" i="10"/>
  <c r="L58" i="10"/>
  <c r="I58" i="10"/>
  <c r="H58" i="10"/>
  <c r="E58" i="10"/>
  <c r="P57" i="10"/>
  <c r="M57" i="10"/>
  <c r="L57" i="10"/>
  <c r="I57" i="10"/>
  <c r="H57" i="10"/>
  <c r="E57" i="10"/>
  <c r="P56" i="10"/>
  <c r="M56" i="10"/>
  <c r="L56" i="10"/>
  <c r="I56" i="10"/>
  <c r="H56" i="10"/>
  <c r="E56" i="10"/>
  <c r="P55" i="10"/>
  <c r="M55" i="10"/>
  <c r="L55" i="10"/>
  <c r="I55" i="10"/>
  <c r="H55" i="10"/>
  <c r="E55" i="10"/>
  <c r="P54" i="10"/>
  <c r="M54" i="10"/>
  <c r="L54" i="10"/>
  <c r="I54" i="10"/>
  <c r="H54" i="10"/>
  <c r="E54" i="10"/>
  <c r="P53" i="10"/>
  <c r="M53" i="10"/>
  <c r="L53" i="10"/>
  <c r="I53" i="10"/>
  <c r="H53" i="10"/>
  <c r="E53" i="10"/>
  <c r="P52" i="10"/>
  <c r="M52" i="10"/>
  <c r="L52" i="10"/>
  <c r="I52" i="10"/>
  <c r="H52" i="10"/>
  <c r="E52" i="10"/>
  <c r="P51" i="10"/>
  <c r="M51" i="10"/>
  <c r="L51" i="10"/>
  <c r="I51" i="10"/>
  <c r="H51" i="10"/>
  <c r="E51" i="10"/>
  <c r="P50" i="10"/>
  <c r="M50" i="10"/>
  <c r="L50" i="10"/>
  <c r="I50" i="10"/>
  <c r="H50" i="10"/>
  <c r="E50" i="10"/>
  <c r="P49" i="10"/>
  <c r="M49" i="10"/>
  <c r="L49" i="10"/>
  <c r="I49" i="10"/>
  <c r="H49" i="10"/>
  <c r="E49" i="10"/>
  <c r="P48" i="10"/>
  <c r="M48" i="10"/>
  <c r="L48" i="10"/>
  <c r="I48" i="10"/>
  <c r="H48" i="10"/>
  <c r="E48" i="10"/>
  <c r="D48" i="10"/>
  <c r="P47" i="10"/>
  <c r="M47" i="10"/>
  <c r="L47" i="10"/>
  <c r="I47" i="10"/>
  <c r="H47" i="10"/>
  <c r="E47" i="10"/>
  <c r="P46" i="10"/>
  <c r="M46" i="10"/>
  <c r="L46" i="10"/>
  <c r="I46" i="10"/>
  <c r="H46" i="10"/>
  <c r="E46" i="10"/>
  <c r="D46" i="10"/>
  <c r="B46" i="10"/>
  <c r="P45" i="10"/>
  <c r="M45" i="10"/>
  <c r="L45" i="10"/>
  <c r="I45" i="10"/>
  <c r="H45" i="10"/>
  <c r="E45" i="10"/>
  <c r="D45" i="10"/>
  <c r="C45" i="10"/>
  <c r="B45" i="10"/>
  <c r="P44" i="10"/>
  <c r="M44" i="10"/>
  <c r="L44" i="10"/>
  <c r="I44" i="10"/>
  <c r="H44" i="10"/>
  <c r="E44" i="10"/>
  <c r="D44" i="10"/>
  <c r="C44" i="10"/>
  <c r="B44" i="10"/>
  <c r="P43" i="10"/>
  <c r="M43" i="10"/>
  <c r="L43" i="10"/>
  <c r="I43" i="10"/>
  <c r="H43" i="10"/>
  <c r="E43" i="10"/>
  <c r="D43" i="10"/>
  <c r="C43" i="10"/>
  <c r="B43" i="10"/>
  <c r="P42" i="10"/>
  <c r="M42" i="10"/>
  <c r="L42" i="10"/>
  <c r="I42" i="10"/>
  <c r="H42" i="10"/>
  <c r="E42" i="10"/>
  <c r="D42" i="10"/>
  <c r="C42" i="10"/>
  <c r="B42" i="10"/>
  <c r="P41" i="10"/>
  <c r="M41" i="10"/>
  <c r="L41" i="10"/>
  <c r="I41" i="10"/>
  <c r="H41" i="10"/>
  <c r="E41" i="10"/>
  <c r="D41" i="10"/>
  <c r="C41" i="10"/>
  <c r="B41" i="10"/>
  <c r="P40" i="10"/>
  <c r="M40" i="10"/>
  <c r="L40" i="10"/>
  <c r="I40" i="10"/>
  <c r="H40" i="10"/>
  <c r="E40" i="10"/>
  <c r="D40" i="10"/>
  <c r="C40" i="10"/>
  <c r="B40" i="10"/>
  <c r="P39" i="10"/>
  <c r="M39" i="10"/>
  <c r="L39" i="10"/>
  <c r="I39" i="10"/>
  <c r="H39" i="10"/>
  <c r="E39" i="10"/>
  <c r="D39" i="10"/>
  <c r="C39" i="10"/>
  <c r="B39" i="10"/>
  <c r="P38" i="10"/>
  <c r="L38" i="10"/>
  <c r="H38" i="10"/>
  <c r="D38" i="10"/>
  <c r="B38" i="10"/>
  <c r="D37" i="10"/>
  <c r="C37" i="10"/>
  <c r="B37" i="10"/>
  <c r="D36" i="10"/>
  <c r="B36" i="10"/>
  <c r="P35" i="10"/>
  <c r="L35" i="10"/>
  <c r="H35" i="10"/>
  <c r="D35" i="10"/>
  <c r="C35" i="10"/>
  <c r="B35" i="10"/>
  <c r="P34" i="10"/>
  <c r="M34" i="10"/>
  <c r="L34" i="10"/>
  <c r="I34" i="10"/>
  <c r="H34" i="10"/>
  <c r="D34" i="10"/>
  <c r="B34" i="10"/>
  <c r="P33" i="10"/>
  <c r="M33" i="10"/>
  <c r="L33" i="10"/>
  <c r="I33" i="10"/>
  <c r="H33" i="10"/>
  <c r="E33" i="10"/>
  <c r="C33" i="10"/>
  <c r="P32" i="10"/>
  <c r="M32" i="10"/>
  <c r="L32" i="10"/>
  <c r="I32" i="10"/>
  <c r="H32" i="10"/>
  <c r="E32" i="10"/>
  <c r="C32" i="10"/>
  <c r="P31" i="10"/>
  <c r="M31" i="10"/>
  <c r="L31" i="10"/>
  <c r="I31" i="10"/>
  <c r="H31" i="10"/>
  <c r="E31" i="10"/>
  <c r="C31" i="10"/>
  <c r="P30" i="10"/>
  <c r="M30" i="10"/>
  <c r="L30" i="10"/>
  <c r="I30" i="10"/>
  <c r="H30" i="10"/>
  <c r="E30" i="10"/>
  <c r="C30" i="10"/>
  <c r="P29" i="10"/>
  <c r="M29" i="10"/>
  <c r="L29" i="10"/>
  <c r="I29" i="10"/>
  <c r="H29" i="10"/>
  <c r="E29" i="10"/>
  <c r="B29" i="10"/>
  <c r="P28" i="10"/>
  <c r="M28" i="10"/>
  <c r="L28" i="10"/>
  <c r="I28" i="10"/>
  <c r="H28" i="10"/>
  <c r="E28" i="10"/>
  <c r="B28" i="10"/>
  <c r="B33" i="10" s="1"/>
  <c r="D33" i="10" s="1"/>
  <c r="P27" i="10"/>
  <c r="M27" i="10"/>
  <c r="L27" i="10"/>
  <c r="I27" i="10"/>
  <c r="H27" i="10"/>
  <c r="E27" i="10"/>
  <c r="P26" i="10"/>
  <c r="M26" i="10"/>
  <c r="L26" i="10"/>
  <c r="I26" i="10"/>
  <c r="H26" i="10"/>
  <c r="E26" i="10"/>
  <c r="P25" i="10"/>
  <c r="M25" i="10"/>
  <c r="L25" i="10"/>
  <c r="I25" i="10"/>
  <c r="H25" i="10"/>
  <c r="E25" i="10"/>
  <c r="P24" i="10"/>
  <c r="M24" i="10"/>
  <c r="L24" i="10"/>
  <c r="I24" i="10"/>
  <c r="H24" i="10"/>
  <c r="E24" i="10"/>
  <c r="B24" i="10"/>
  <c r="P23" i="10"/>
  <c r="M23" i="10"/>
  <c r="L23" i="10"/>
  <c r="I23" i="10"/>
  <c r="H23" i="10"/>
  <c r="E23" i="10"/>
  <c r="B23" i="10"/>
  <c r="P22" i="10"/>
  <c r="M22" i="10"/>
  <c r="L22" i="10"/>
  <c r="I22" i="10"/>
  <c r="H22" i="10"/>
  <c r="E22" i="10"/>
  <c r="C22" i="10"/>
  <c r="B22" i="10"/>
  <c r="P21" i="10"/>
  <c r="M21" i="10"/>
  <c r="L21" i="10"/>
  <c r="I21" i="10"/>
  <c r="H21" i="10"/>
  <c r="E21" i="10"/>
  <c r="B21" i="10"/>
  <c r="P20" i="10"/>
  <c r="M20" i="10"/>
  <c r="L20" i="10"/>
  <c r="I20" i="10"/>
  <c r="H20" i="10"/>
  <c r="E20" i="10"/>
  <c r="B20" i="10"/>
  <c r="P19" i="10"/>
  <c r="M19" i="10"/>
  <c r="L19" i="10"/>
  <c r="I19" i="10"/>
  <c r="H19" i="10"/>
  <c r="E19" i="10"/>
  <c r="P18" i="10"/>
  <c r="M18" i="10"/>
  <c r="L18" i="10"/>
  <c r="I18" i="10"/>
  <c r="H18" i="10"/>
  <c r="E18" i="10"/>
  <c r="B18" i="10"/>
  <c r="P17" i="10"/>
  <c r="M17" i="10"/>
  <c r="L17" i="10"/>
  <c r="I17" i="10"/>
  <c r="H17" i="10"/>
  <c r="E17" i="10"/>
  <c r="B17" i="10"/>
  <c r="P16" i="10"/>
  <c r="M16" i="10"/>
  <c r="L16" i="10"/>
  <c r="I16" i="10"/>
  <c r="H16" i="10"/>
  <c r="E16" i="10"/>
  <c r="P15" i="10"/>
  <c r="M15" i="10"/>
  <c r="L15" i="10"/>
  <c r="I15" i="10"/>
  <c r="H15" i="10"/>
  <c r="E15" i="10"/>
  <c r="P14" i="10"/>
  <c r="M14" i="10"/>
  <c r="L14" i="10"/>
  <c r="I14" i="10"/>
  <c r="H14" i="10"/>
  <c r="E14" i="10"/>
  <c r="B14" i="10"/>
  <c r="P13" i="10"/>
  <c r="M13" i="10"/>
  <c r="L13" i="10"/>
  <c r="I13" i="10"/>
  <c r="H13" i="10"/>
  <c r="E13" i="10"/>
  <c r="B13" i="10"/>
  <c r="P12" i="10"/>
  <c r="M12" i="10"/>
  <c r="L12" i="10"/>
  <c r="I12" i="10"/>
  <c r="H12" i="10"/>
  <c r="E12" i="10"/>
  <c r="B12" i="10"/>
  <c r="P11" i="10"/>
  <c r="M11" i="10"/>
  <c r="L11" i="10"/>
  <c r="I11" i="10"/>
  <c r="H11" i="10"/>
  <c r="E11" i="10"/>
  <c r="B11" i="10"/>
  <c r="P10" i="10"/>
  <c r="M10" i="10"/>
  <c r="L10" i="10"/>
  <c r="I10" i="10"/>
  <c r="H10" i="10"/>
  <c r="E10" i="10"/>
  <c r="P9" i="10"/>
  <c r="M9" i="10"/>
  <c r="L9" i="10"/>
  <c r="I9" i="10"/>
  <c r="H9" i="10"/>
  <c r="E9" i="10"/>
  <c r="P8" i="10"/>
  <c r="M8" i="10"/>
  <c r="L8" i="10"/>
  <c r="I8" i="10"/>
  <c r="H8" i="10"/>
  <c r="E8" i="10"/>
  <c r="P7" i="10"/>
  <c r="M7" i="10"/>
  <c r="L7" i="10"/>
  <c r="I7" i="10"/>
  <c r="H7" i="10"/>
  <c r="E7" i="10"/>
  <c r="P6" i="10"/>
  <c r="M6" i="10"/>
  <c r="L6" i="10"/>
  <c r="I6" i="10"/>
  <c r="H6" i="10"/>
  <c r="E6" i="10"/>
  <c r="P5" i="10"/>
  <c r="M5" i="10"/>
  <c r="L5" i="10"/>
  <c r="I5" i="10"/>
  <c r="H5" i="10"/>
  <c r="E5" i="10"/>
  <c r="P4" i="10"/>
  <c r="L4" i="10"/>
  <c r="H4" i="10"/>
  <c r="P69" i="12"/>
  <c r="L69" i="12"/>
  <c r="H69" i="12"/>
  <c r="P68" i="12"/>
  <c r="L68" i="12"/>
  <c r="H68" i="12"/>
  <c r="P67" i="12"/>
  <c r="M67" i="12"/>
  <c r="L67" i="12"/>
  <c r="H67" i="12"/>
  <c r="P66" i="12"/>
  <c r="M66" i="12"/>
  <c r="L66" i="12"/>
  <c r="H66" i="12"/>
  <c r="P65" i="12"/>
  <c r="M65" i="12"/>
  <c r="L65" i="12"/>
  <c r="H65" i="12"/>
  <c r="B65" i="12"/>
  <c r="P64" i="12"/>
  <c r="M64" i="12"/>
  <c r="L64" i="12"/>
  <c r="H64" i="12"/>
  <c r="P63" i="12"/>
  <c r="M63" i="12"/>
  <c r="L63" i="12"/>
  <c r="H63" i="12"/>
  <c r="P62" i="12"/>
  <c r="M62" i="12"/>
  <c r="L62" i="12"/>
  <c r="I62" i="12"/>
  <c r="H62" i="12"/>
  <c r="E62" i="12"/>
  <c r="P61" i="12"/>
  <c r="M61" i="12"/>
  <c r="L61" i="12"/>
  <c r="I61" i="12"/>
  <c r="H61" i="12"/>
  <c r="E61" i="12"/>
  <c r="P60" i="12"/>
  <c r="M60" i="12"/>
  <c r="L60" i="12"/>
  <c r="I60" i="12"/>
  <c r="H60" i="12"/>
  <c r="E60" i="12"/>
  <c r="P59" i="12"/>
  <c r="M59" i="12"/>
  <c r="L59" i="12"/>
  <c r="I59" i="12"/>
  <c r="H59" i="12"/>
  <c r="E59" i="12"/>
  <c r="P58" i="12"/>
  <c r="M58" i="12"/>
  <c r="L58" i="12"/>
  <c r="I58" i="12"/>
  <c r="H58" i="12"/>
  <c r="E58" i="12"/>
  <c r="P57" i="12"/>
  <c r="M57" i="12"/>
  <c r="L57" i="12"/>
  <c r="I57" i="12"/>
  <c r="H57" i="12"/>
  <c r="E57" i="12"/>
  <c r="P56" i="12"/>
  <c r="M56" i="12"/>
  <c r="L56" i="12"/>
  <c r="I56" i="12"/>
  <c r="H56" i="12"/>
  <c r="E56" i="12"/>
  <c r="P55" i="12"/>
  <c r="M55" i="12"/>
  <c r="L55" i="12"/>
  <c r="I55" i="12"/>
  <c r="H55" i="12"/>
  <c r="E55" i="12"/>
  <c r="P54" i="12"/>
  <c r="M54" i="12"/>
  <c r="L54" i="12"/>
  <c r="I54" i="12"/>
  <c r="H54" i="12"/>
  <c r="E54" i="12"/>
  <c r="P53" i="12"/>
  <c r="M53" i="12"/>
  <c r="L53" i="12"/>
  <c r="I53" i="12"/>
  <c r="H53" i="12"/>
  <c r="E53" i="12"/>
  <c r="P52" i="12"/>
  <c r="M52" i="12"/>
  <c r="L52" i="12"/>
  <c r="I52" i="12"/>
  <c r="H52" i="12"/>
  <c r="E52" i="12"/>
  <c r="P51" i="12"/>
  <c r="M51" i="12"/>
  <c r="L51" i="12"/>
  <c r="I51" i="12"/>
  <c r="H51" i="12"/>
  <c r="E51" i="12"/>
  <c r="P50" i="12"/>
  <c r="M50" i="12"/>
  <c r="L50" i="12"/>
  <c r="I50" i="12"/>
  <c r="H50" i="12"/>
  <c r="E50" i="12"/>
  <c r="P49" i="12"/>
  <c r="M49" i="12"/>
  <c r="L49" i="12"/>
  <c r="I49" i="12"/>
  <c r="H49" i="12"/>
  <c r="E49" i="12"/>
  <c r="D49" i="12"/>
  <c r="P48" i="12"/>
  <c r="M48" i="12"/>
  <c r="L48" i="12"/>
  <c r="I48" i="12"/>
  <c r="H48" i="12"/>
  <c r="E48" i="12"/>
  <c r="P47" i="12"/>
  <c r="M47" i="12"/>
  <c r="L47" i="12"/>
  <c r="I47" i="12"/>
  <c r="H47" i="12"/>
  <c r="E47" i="12"/>
  <c r="D47" i="12"/>
  <c r="B47" i="12"/>
  <c r="P46" i="12"/>
  <c r="M46" i="12"/>
  <c r="L46" i="12"/>
  <c r="I46" i="12"/>
  <c r="H46" i="12"/>
  <c r="E46" i="12"/>
  <c r="D46" i="12"/>
  <c r="C46" i="12"/>
  <c r="B46" i="12"/>
  <c r="P45" i="12"/>
  <c r="M45" i="12"/>
  <c r="L45" i="12"/>
  <c r="I45" i="12"/>
  <c r="H45" i="12"/>
  <c r="E45" i="12"/>
  <c r="D45" i="12"/>
  <c r="C45" i="12"/>
  <c r="B45" i="12"/>
  <c r="P44" i="12"/>
  <c r="M44" i="12"/>
  <c r="L44" i="12"/>
  <c r="I44" i="12"/>
  <c r="H44" i="12"/>
  <c r="E44" i="12"/>
  <c r="D44" i="12"/>
  <c r="C44" i="12"/>
  <c r="B44" i="12"/>
  <c r="P43" i="12"/>
  <c r="M43" i="12"/>
  <c r="L43" i="12"/>
  <c r="I43" i="12"/>
  <c r="H43" i="12"/>
  <c r="E43" i="12"/>
  <c r="D43" i="12"/>
  <c r="C43" i="12"/>
  <c r="B43" i="12"/>
  <c r="P42" i="12"/>
  <c r="M42" i="12"/>
  <c r="L42" i="12"/>
  <c r="I42" i="12"/>
  <c r="H42" i="12"/>
  <c r="E42" i="12"/>
  <c r="D42" i="12"/>
  <c r="C42" i="12"/>
  <c r="B42" i="12"/>
  <c r="P41" i="12"/>
  <c r="M41" i="12"/>
  <c r="L41" i="12"/>
  <c r="I41" i="12"/>
  <c r="H41" i="12"/>
  <c r="E41" i="12"/>
  <c r="D41" i="12"/>
  <c r="C41" i="12"/>
  <c r="B41" i="12"/>
  <c r="P40" i="12"/>
  <c r="M40" i="12"/>
  <c r="L40" i="12"/>
  <c r="I40" i="12"/>
  <c r="H40" i="12"/>
  <c r="E40" i="12"/>
  <c r="D40" i="12"/>
  <c r="C40" i="12"/>
  <c r="B40" i="12"/>
  <c r="P39" i="12"/>
  <c r="M39" i="12"/>
  <c r="L39" i="12"/>
  <c r="I39" i="12"/>
  <c r="H39" i="12"/>
  <c r="E39" i="12"/>
  <c r="D39" i="12"/>
  <c r="B39" i="12"/>
  <c r="P38" i="12"/>
  <c r="L38" i="12"/>
  <c r="H38" i="12"/>
  <c r="D38" i="12"/>
  <c r="C38" i="12"/>
  <c r="B38" i="12"/>
  <c r="D37" i="12"/>
  <c r="B37" i="12"/>
  <c r="D36" i="12"/>
  <c r="B36" i="12"/>
  <c r="P35" i="12"/>
  <c r="L35" i="12"/>
  <c r="H35" i="12"/>
  <c r="D35" i="12"/>
  <c r="B35" i="12"/>
  <c r="P34" i="12"/>
  <c r="M34" i="12"/>
  <c r="L34" i="12"/>
  <c r="I34" i="12"/>
  <c r="H34" i="12"/>
  <c r="C34" i="12"/>
  <c r="P33" i="12"/>
  <c r="M33" i="12"/>
  <c r="L33" i="12"/>
  <c r="I33" i="12"/>
  <c r="H33" i="12"/>
  <c r="E33" i="12"/>
  <c r="P32" i="12"/>
  <c r="M32" i="12"/>
  <c r="L32" i="12"/>
  <c r="I32" i="12"/>
  <c r="H32" i="12"/>
  <c r="E32" i="12"/>
  <c r="P31" i="12"/>
  <c r="M31" i="12"/>
  <c r="L31" i="12"/>
  <c r="I31" i="12"/>
  <c r="H31" i="12"/>
  <c r="E31" i="12"/>
  <c r="P30" i="12"/>
  <c r="M30" i="12"/>
  <c r="L30" i="12"/>
  <c r="I30" i="12"/>
  <c r="H30" i="12"/>
  <c r="E30" i="12"/>
  <c r="B30" i="12"/>
  <c r="P29" i="12"/>
  <c r="M29" i="12"/>
  <c r="L29" i="12"/>
  <c r="I29" i="12"/>
  <c r="H29" i="12"/>
  <c r="E29" i="12"/>
  <c r="B29" i="12"/>
  <c r="B34" i="12" s="1"/>
  <c r="D34" i="12" s="1"/>
  <c r="P28" i="12"/>
  <c r="M28" i="12"/>
  <c r="L28" i="12"/>
  <c r="I28" i="12"/>
  <c r="H28" i="12"/>
  <c r="E28" i="12"/>
  <c r="P27" i="12"/>
  <c r="M27" i="12"/>
  <c r="L27" i="12"/>
  <c r="I27" i="12"/>
  <c r="H27" i="12"/>
  <c r="E27" i="12"/>
  <c r="P26" i="12"/>
  <c r="M26" i="12"/>
  <c r="L26" i="12"/>
  <c r="I26" i="12"/>
  <c r="H26" i="12"/>
  <c r="E26" i="12"/>
  <c r="P25" i="12"/>
  <c r="M25" i="12"/>
  <c r="L25" i="12"/>
  <c r="I25" i="12"/>
  <c r="H25" i="12"/>
  <c r="E25" i="12"/>
  <c r="B25" i="12"/>
  <c r="P24" i="12"/>
  <c r="M24" i="12"/>
  <c r="L24" i="12"/>
  <c r="I24" i="12"/>
  <c r="H24" i="12"/>
  <c r="E24" i="12"/>
  <c r="B24" i="12"/>
  <c r="P23" i="12"/>
  <c r="M23" i="12"/>
  <c r="L23" i="12"/>
  <c r="I23" i="12"/>
  <c r="H23" i="12"/>
  <c r="E23" i="12"/>
  <c r="C23" i="12"/>
  <c r="B23" i="12"/>
  <c r="P22" i="12"/>
  <c r="M22" i="12"/>
  <c r="L22" i="12"/>
  <c r="I22" i="12"/>
  <c r="H22" i="12"/>
  <c r="E22" i="12"/>
  <c r="B22" i="12"/>
  <c r="P21" i="12"/>
  <c r="M21" i="12"/>
  <c r="L21" i="12"/>
  <c r="I21" i="12"/>
  <c r="H21" i="12"/>
  <c r="E21" i="12"/>
  <c r="B21" i="12"/>
  <c r="P20" i="12"/>
  <c r="M20" i="12"/>
  <c r="L20" i="12"/>
  <c r="I20" i="12"/>
  <c r="H20" i="12"/>
  <c r="E20" i="12"/>
  <c r="P19" i="12"/>
  <c r="M19" i="12"/>
  <c r="L19" i="12"/>
  <c r="I19" i="12"/>
  <c r="H19" i="12"/>
  <c r="E19" i="12"/>
  <c r="B19" i="12"/>
  <c r="P18" i="12"/>
  <c r="M18" i="12"/>
  <c r="L18" i="12"/>
  <c r="I18" i="12"/>
  <c r="H18" i="12"/>
  <c r="E18" i="12"/>
  <c r="B18" i="12"/>
  <c r="P17" i="12"/>
  <c r="M17" i="12"/>
  <c r="L17" i="12"/>
  <c r="I17" i="12"/>
  <c r="H17" i="12"/>
  <c r="E17" i="12"/>
  <c r="P16" i="12"/>
  <c r="M16" i="12"/>
  <c r="L16" i="12"/>
  <c r="I16" i="12"/>
  <c r="H16" i="12"/>
  <c r="E16" i="12"/>
  <c r="P15" i="12"/>
  <c r="M15" i="12"/>
  <c r="L15" i="12"/>
  <c r="I15" i="12"/>
  <c r="H15" i="12"/>
  <c r="E15" i="12"/>
  <c r="B15" i="12"/>
  <c r="P14" i="12"/>
  <c r="M14" i="12"/>
  <c r="L14" i="12"/>
  <c r="I14" i="12"/>
  <c r="H14" i="12"/>
  <c r="E14" i="12"/>
  <c r="B14" i="12"/>
  <c r="P13" i="12"/>
  <c r="M13" i="12"/>
  <c r="L13" i="12"/>
  <c r="I13" i="12"/>
  <c r="H13" i="12"/>
  <c r="E13" i="12"/>
  <c r="B13" i="12"/>
  <c r="P12" i="12"/>
  <c r="M12" i="12"/>
  <c r="L12" i="12"/>
  <c r="I12" i="12"/>
  <c r="H12" i="12"/>
  <c r="E12" i="12"/>
  <c r="B12" i="12"/>
  <c r="P11" i="12"/>
  <c r="M11" i="12"/>
  <c r="L11" i="12"/>
  <c r="I11" i="12"/>
  <c r="H11" i="12"/>
  <c r="E11" i="12"/>
  <c r="P10" i="12"/>
  <c r="M10" i="12"/>
  <c r="L10" i="12"/>
  <c r="I10" i="12"/>
  <c r="H10" i="12"/>
  <c r="E10" i="12"/>
  <c r="P9" i="12"/>
  <c r="M9" i="12"/>
  <c r="L9" i="12"/>
  <c r="I9" i="12"/>
  <c r="H9" i="12"/>
  <c r="E9" i="12"/>
  <c r="P8" i="12"/>
  <c r="M8" i="12"/>
  <c r="L8" i="12"/>
  <c r="I8" i="12"/>
  <c r="H8" i="12"/>
  <c r="E8" i="12"/>
  <c r="P7" i="12"/>
  <c r="M7" i="12"/>
  <c r="L7" i="12"/>
  <c r="I7" i="12"/>
  <c r="H7" i="12"/>
  <c r="E7" i="12"/>
  <c r="P6" i="12"/>
  <c r="M6" i="12"/>
  <c r="L6" i="12"/>
  <c r="I6" i="12"/>
  <c r="H6" i="12"/>
  <c r="E6" i="12"/>
  <c r="P5" i="12"/>
  <c r="M5" i="12"/>
  <c r="L5" i="12"/>
  <c r="I5" i="12"/>
  <c r="H5" i="12"/>
  <c r="E5" i="12"/>
  <c r="P4" i="12"/>
  <c r="L4" i="12"/>
  <c r="H4" i="12"/>
  <c r="P69" i="11"/>
  <c r="L69" i="11"/>
  <c r="H69" i="11"/>
  <c r="P68" i="11"/>
  <c r="L68" i="11"/>
  <c r="H68" i="11"/>
  <c r="P67" i="11"/>
  <c r="M67" i="11"/>
  <c r="L67" i="11"/>
  <c r="H67" i="11"/>
  <c r="P66" i="11"/>
  <c r="M66" i="11"/>
  <c r="L66" i="11"/>
  <c r="H66" i="11"/>
  <c r="P65" i="11"/>
  <c r="M65" i="11"/>
  <c r="L65" i="11"/>
  <c r="H65" i="11"/>
  <c r="B65" i="11"/>
  <c r="P64" i="11"/>
  <c r="M64" i="11"/>
  <c r="L64" i="11"/>
  <c r="H64" i="11"/>
  <c r="P63" i="11"/>
  <c r="M63" i="11"/>
  <c r="L63" i="11"/>
  <c r="H63" i="11"/>
  <c r="P62" i="11"/>
  <c r="M62" i="11"/>
  <c r="L62" i="11"/>
  <c r="I62" i="11"/>
  <c r="H62" i="11"/>
  <c r="E62" i="11"/>
  <c r="P61" i="11"/>
  <c r="M61" i="11"/>
  <c r="L61" i="11"/>
  <c r="I61" i="11"/>
  <c r="H61" i="11"/>
  <c r="E61" i="11"/>
  <c r="P60" i="11"/>
  <c r="M60" i="11"/>
  <c r="L60" i="11"/>
  <c r="I60" i="11"/>
  <c r="H60" i="11"/>
  <c r="E60" i="11"/>
  <c r="P59" i="11"/>
  <c r="M59" i="11"/>
  <c r="L59" i="11"/>
  <c r="I59" i="11"/>
  <c r="H59" i="11"/>
  <c r="E59" i="11"/>
  <c r="P58" i="11"/>
  <c r="M58" i="11"/>
  <c r="L58" i="11"/>
  <c r="I58" i="11"/>
  <c r="H58" i="11"/>
  <c r="E58" i="11"/>
  <c r="P57" i="11"/>
  <c r="M57" i="11"/>
  <c r="L57" i="11"/>
  <c r="I57" i="11"/>
  <c r="H57" i="11"/>
  <c r="E57" i="11"/>
  <c r="P56" i="11"/>
  <c r="M56" i="11"/>
  <c r="L56" i="11"/>
  <c r="I56" i="11"/>
  <c r="H56" i="11"/>
  <c r="E56" i="11"/>
  <c r="P55" i="11"/>
  <c r="M55" i="11"/>
  <c r="L55" i="11"/>
  <c r="I55" i="11"/>
  <c r="H55" i="11"/>
  <c r="E55" i="11"/>
  <c r="P54" i="11"/>
  <c r="M54" i="11"/>
  <c r="L54" i="11"/>
  <c r="I54" i="11"/>
  <c r="H54" i="11"/>
  <c r="E54" i="11"/>
  <c r="P53" i="11"/>
  <c r="M53" i="11"/>
  <c r="L53" i="11"/>
  <c r="I53" i="11"/>
  <c r="H53" i="11"/>
  <c r="E53" i="11"/>
  <c r="P52" i="11"/>
  <c r="M52" i="11"/>
  <c r="L52" i="11"/>
  <c r="I52" i="11"/>
  <c r="H52" i="11"/>
  <c r="E52" i="11"/>
  <c r="P51" i="11"/>
  <c r="M51" i="11"/>
  <c r="L51" i="11"/>
  <c r="I51" i="11"/>
  <c r="H51" i="11"/>
  <c r="E51" i="11"/>
  <c r="P50" i="11"/>
  <c r="M50" i="11"/>
  <c r="L50" i="11"/>
  <c r="I50" i="11"/>
  <c r="H50" i="11"/>
  <c r="E50" i="11"/>
  <c r="P49" i="11"/>
  <c r="M49" i="11"/>
  <c r="L49" i="11"/>
  <c r="I49" i="11"/>
  <c r="H49" i="11"/>
  <c r="E49" i="11"/>
  <c r="D49" i="11"/>
  <c r="P48" i="11"/>
  <c r="M48" i="11"/>
  <c r="L48" i="11"/>
  <c r="I48" i="11"/>
  <c r="H48" i="11"/>
  <c r="E48" i="11"/>
  <c r="P47" i="11"/>
  <c r="M47" i="11"/>
  <c r="L47" i="11"/>
  <c r="I47" i="11"/>
  <c r="H47" i="11"/>
  <c r="E47" i="11"/>
  <c r="D47" i="11"/>
  <c r="B47" i="11"/>
  <c r="P46" i="11"/>
  <c r="M46" i="11"/>
  <c r="L46" i="11"/>
  <c r="I46" i="11"/>
  <c r="H46" i="11"/>
  <c r="E46" i="11"/>
  <c r="D46" i="11"/>
  <c r="C46" i="11"/>
  <c r="B46" i="11"/>
  <c r="P45" i="11"/>
  <c r="M45" i="11"/>
  <c r="L45" i="11"/>
  <c r="I45" i="11"/>
  <c r="H45" i="11"/>
  <c r="E45" i="11"/>
  <c r="D45" i="11"/>
  <c r="C45" i="11"/>
  <c r="B45" i="11"/>
  <c r="P44" i="11"/>
  <c r="M44" i="11"/>
  <c r="L44" i="11"/>
  <c r="I44" i="11"/>
  <c r="H44" i="11"/>
  <c r="E44" i="11"/>
  <c r="D44" i="11"/>
  <c r="C44" i="11"/>
  <c r="B44" i="11"/>
  <c r="P43" i="11"/>
  <c r="M43" i="11"/>
  <c r="L43" i="11"/>
  <c r="I43" i="11"/>
  <c r="H43" i="11"/>
  <c r="E43" i="11"/>
  <c r="D43" i="11"/>
  <c r="C43" i="11"/>
  <c r="B43" i="11"/>
  <c r="P42" i="11"/>
  <c r="M42" i="11"/>
  <c r="L42" i="11"/>
  <c r="I42" i="11"/>
  <c r="H42" i="11"/>
  <c r="E42" i="11"/>
  <c r="D42" i="11"/>
  <c r="C42" i="11"/>
  <c r="B42" i="11"/>
  <c r="P41" i="11"/>
  <c r="M41" i="11"/>
  <c r="L41" i="11"/>
  <c r="I41" i="11"/>
  <c r="H41" i="11"/>
  <c r="E41" i="11"/>
  <c r="D41" i="11"/>
  <c r="C41" i="11"/>
  <c r="B41" i="11"/>
  <c r="P40" i="11"/>
  <c r="M40" i="11"/>
  <c r="L40" i="11"/>
  <c r="I40" i="11"/>
  <c r="H40" i="11"/>
  <c r="E40" i="11"/>
  <c r="D40" i="11"/>
  <c r="C40" i="11"/>
  <c r="B40" i="11"/>
  <c r="P39" i="11"/>
  <c r="M39" i="11"/>
  <c r="L39" i="11"/>
  <c r="I39" i="11"/>
  <c r="H39" i="11"/>
  <c r="E39" i="11"/>
  <c r="D39" i="11"/>
  <c r="B39" i="11"/>
  <c r="P38" i="11"/>
  <c r="L38" i="11"/>
  <c r="H38" i="11"/>
  <c r="D38" i="11"/>
  <c r="C38" i="11"/>
  <c r="B38" i="11"/>
  <c r="D37" i="11"/>
  <c r="B37" i="11"/>
  <c r="D36" i="11"/>
  <c r="B36" i="11"/>
  <c r="P35" i="11"/>
  <c r="L35" i="11"/>
  <c r="H35" i="11"/>
  <c r="D35" i="11"/>
  <c r="B35" i="11"/>
  <c r="P34" i="11"/>
  <c r="M34" i="11"/>
  <c r="L34" i="11"/>
  <c r="I34" i="11"/>
  <c r="H34" i="11"/>
  <c r="C34" i="11"/>
  <c r="P33" i="11"/>
  <c r="M33" i="11"/>
  <c r="L33" i="11"/>
  <c r="I33" i="11"/>
  <c r="H33" i="11"/>
  <c r="E33" i="11"/>
  <c r="P32" i="11"/>
  <c r="M32" i="11"/>
  <c r="L32" i="11"/>
  <c r="I32" i="11"/>
  <c r="H32" i="11"/>
  <c r="E32" i="11"/>
  <c r="P31" i="11"/>
  <c r="M31" i="11"/>
  <c r="L31" i="11"/>
  <c r="I31" i="11"/>
  <c r="H31" i="11"/>
  <c r="E31" i="11"/>
  <c r="P30" i="11"/>
  <c r="M30" i="11"/>
  <c r="L30" i="11"/>
  <c r="I30" i="11"/>
  <c r="H30" i="11"/>
  <c r="E30" i="11"/>
  <c r="B30" i="11"/>
  <c r="P29" i="11"/>
  <c r="M29" i="11"/>
  <c r="L29" i="11"/>
  <c r="I29" i="11"/>
  <c r="H29" i="11"/>
  <c r="E29" i="11"/>
  <c r="B29" i="11"/>
  <c r="B34" i="11" s="1"/>
  <c r="D34" i="11" s="1"/>
  <c r="P28" i="11"/>
  <c r="M28" i="11"/>
  <c r="L28" i="11"/>
  <c r="I28" i="11"/>
  <c r="H28" i="11"/>
  <c r="E28" i="11"/>
  <c r="P27" i="11"/>
  <c r="M27" i="11"/>
  <c r="L27" i="11"/>
  <c r="I27" i="11"/>
  <c r="H27" i="11"/>
  <c r="E27" i="11"/>
  <c r="P26" i="11"/>
  <c r="M26" i="11"/>
  <c r="L26" i="11"/>
  <c r="I26" i="11"/>
  <c r="H26" i="11"/>
  <c r="E26" i="11"/>
  <c r="P25" i="11"/>
  <c r="M25" i="11"/>
  <c r="L25" i="11"/>
  <c r="I25" i="11"/>
  <c r="H25" i="11"/>
  <c r="E25" i="11"/>
  <c r="B25" i="11"/>
  <c r="P24" i="11"/>
  <c r="M24" i="11"/>
  <c r="L24" i="11"/>
  <c r="I24" i="11"/>
  <c r="H24" i="11"/>
  <c r="E24" i="11"/>
  <c r="B24" i="11"/>
  <c r="P23" i="11"/>
  <c r="M23" i="11"/>
  <c r="L23" i="11"/>
  <c r="I23" i="11"/>
  <c r="H23" i="11"/>
  <c r="E23" i="11"/>
  <c r="C23" i="11"/>
  <c r="B23" i="11"/>
  <c r="P22" i="11"/>
  <c r="M22" i="11"/>
  <c r="L22" i="11"/>
  <c r="I22" i="11"/>
  <c r="H22" i="11"/>
  <c r="E22" i="11"/>
  <c r="B22" i="11"/>
  <c r="P21" i="11"/>
  <c r="M21" i="11"/>
  <c r="L21" i="11"/>
  <c r="I21" i="11"/>
  <c r="H21" i="11"/>
  <c r="E21" i="11"/>
  <c r="B21" i="11"/>
  <c r="P20" i="11"/>
  <c r="M20" i="11"/>
  <c r="L20" i="11"/>
  <c r="I20" i="11"/>
  <c r="H20" i="11"/>
  <c r="E20" i="11"/>
  <c r="P19" i="11"/>
  <c r="M19" i="11"/>
  <c r="L19" i="11"/>
  <c r="I19" i="11"/>
  <c r="H19" i="11"/>
  <c r="E19" i="11"/>
  <c r="B19" i="11"/>
  <c r="P18" i="11"/>
  <c r="M18" i="11"/>
  <c r="L18" i="11"/>
  <c r="I18" i="11"/>
  <c r="H18" i="11"/>
  <c r="E18" i="11"/>
  <c r="B18" i="11"/>
  <c r="P17" i="11"/>
  <c r="M17" i="11"/>
  <c r="L17" i="11"/>
  <c r="I17" i="11"/>
  <c r="H17" i="11"/>
  <c r="E17" i="11"/>
  <c r="P16" i="11"/>
  <c r="M16" i="11"/>
  <c r="L16" i="11"/>
  <c r="I16" i="11"/>
  <c r="H16" i="11"/>
  <c r="E16" i="11"/>
  <c r="P15" i="11"/>
  <c r="M15" i="11"/>
  <c r="L15" i="11"/>
  <c r="I15" i="11"/>
  <c r="H15" i="11"/>
  <c r="E15" i="11"/>
  <c r="B15" i="11"/>
  <c r="P14" i="11"/>
  <c r="M14" i="11"/>
  <c r="L14" i="11"/>
  <c r="I14" i="11"/>
  <c r="H14" i="11"/>
  <c r="E14" i="11"/>
  <c r="B14" i="11"/>
  <c r="P13" i="11"/>
  <c r="M13" i="11"/>
  <c r="L13" i="11"/>
  <c r="I13" i="11"/>
  <c r="H13" i="11"/>
  <c r="E13" i="11"/>
  <c r="B13" i="11"/>
  <c r="P12" i="11"/>
  <c r="M12" i="11"/>
  <c r="L12" i="11"/>
  <c r="I12" i="11"/>
  <c r="H12" i="11"/>
  <c r="E12" i="11"/>
  <c r="B12" i="11"/>
  <c r="P11" i="11"/>
  <c r="M11" i="11"/>
  <c r="L11" i="11"/>
  <c r="I11" i="11"/>
  <c r="H11" i="11"/>
  <c r="E11" i="11"/>
  <c r="P10" i="11"/>
  <c r="M10" i="11"/>
  <c r="L10" i="11"/>
  <c r="I10" i="11"/>
  <c r="H10" i="11"/>
  <c r="E10" i="11"/>
  <c r="P9" i="11"/>
  <c r="M9" i="11"/>
  <c r="L9" i="11"/>
  <c r="I9" i="11"/>
  <c r="H9" i="11"/>
  <c r="E9" i="11"/>
  <c r="P8" i="11"/>
  <c r="M8" i="11"/>
  <c r="L8" i="11"/>
  <c r="I8" i="11"/>
  <c r="H8" i="11"/>
  <c r="E8" i="11"/>
  <c r="P7" i="11"/>
  <c r="M7" i="11"/>
  <c r="L7" i="11"/>
  <c r="I7" i="11"/>
  <c r="H7" i="11"/>
  <c r="E7" i="11"/>
  <c r="P6" i="11"/>
  <c r="M6" i="11"/>
  <c r="L6" i="11"/>
  <c r="I6" i="11"/>
  <c r="H6" i="11"/>
  <c r="E6" i="11"/>
  <c r="P5" i="11"/>
  <c r="M5" i="11"/>
  <c r="L5" i="11"/>
  <c r="I5" i="11"/>
  <c r="H5" i="11"/>
  <c r="E5" i="11"/>
  <c r="P4" i="11"/>
  <c r="L4" i="11"/>
  <c r="H4" i="11"/>
  <c r="P69" i="9"/>
  <c r="L69" i="9"/>
  <c r="H69" i="9"/>
  <c r="P68" i="9"/>
  <c r="L68" i="9"/>
  <c r="H68" i="9"/>
  <c r="P67" i="9"/>
  <c r="M67" i="9"/>
  <c r="L67" i="9"/>
  <c r="H67" i="9"/>
  <c r="P66" i="9"/>
  <c r="M66" i="9"/>
  <c r="L66" i="9"/>
  <c r="H66" i="9"/>
  <c r="P65" i="9"/>
  <c r="M65" i="9"/>
  <c r="L65" i="9"/>
  <c r="H65" i="9"/>
  <c r="P64" i="9"/>
  <c r="M64" i="9"/>
  <c r="L64" i="9"/>
  <c r="H64" i="9"/>
  <c r="B64" i="9"/>
  <c r="P63" i="9"/>
  <c r="M63" i="9"/>
  <c r="L63" i="9"/>
  <c r="H63" i="9"/>
  <c r="P62" i="9"/>
  <c r="M62" i="9"/>
  <c r="L62" i="9"/>
  <c r="I62" i="9"/>
  <c r="H62" i="9"/>
  <c r="E62" i="9"/>
  <c r="P61" i="9"/>
  <c r="M61" i="9"/>
  <c r="L61" i="9"/>
  <c r="I61" i="9"/>
  <c r="H61" i="9"/>
  <c r="E61" i="9"/>
  <c r="P60" i="9"/>
  <c r="M60" i="9"/>
  <c r="L60" i="9"/>
  <c r="I60" i="9"/>
  <c r="H60" i="9"/>
  <c r="E60" i="9"/>
  <c r="P59" i="9"/>
  <c r="M59" i="9"/>
  <c r="L59" i="9"/>
  <c r="I59" i="9"/>
  <c r="H59" i="9"/>
  <c r="E59" i="9"/>
  <c r="P58" i="9"/>
  <c r="M58" i="9"/>
  <c r="L58" i="9"/>
  <c r="I58" i="9"/>
  <c r="H58" i="9"/>
  <c r="E58" i="9"/>
  <c r="P57" i="9"/>
  <c r="M57" i="9"/>
  <c r="L57" i="9"/>
  <c r="I57" i="9"/>
  <c r="H57" i="9"/>
  <c r="E57" i="9"/>
  <c r="P56" i="9"/>
  <c r="M56" i="9"/>
  <c r="L56" i="9"/>
  <c r="I56" i="9"/>
  <c r="H56" i="9"/>
  <c r="E56" i="9"/>
  <c r="P55" i="9"/>
  <c r="M55" i="9"/>
  <c r="L55" i="9"/>
  <c r="I55" i="9"/>
  <c r="H55" i="9"/>
  <c r="E55" i="9"/>
  <c r="P54" i="9"/>
  <c r="M54" i="9"/>
  <c r="L54" i="9"/>
  <c r="I54" i="9"/>
  <c r="H54" i="9"/>
  <c r="E54" i="9"/>
  <c r="P53" i="9"/>
  <c r="M53" i="9"/>
  <c r="L53" i="9"/>
  <c r="I53" i="9"/>
  <c r="H53" i="9"/>
  <c r="E53" i="9"/>
  <c r="P52" i="9"/>
  <c r="M52" i="9"/>
  <c r="L52" i="9"/>
  <c r="I52" i="9"/>
  <c r="H52" i="9"/>
  <c r="E52" i="9"/>
  <c r="P51" i="9"/>
  <c r="M51" i="9"/>
  <c r="L51" i="9"/>
  <c r="I51" i="9"/>
  <c r="H51" i="9"/>
  <c r="E51" i="9"/>
  <c r="P50" i="9"/>
  <c r="M50" i="9"/>
  <c r="L50" i="9"/>
  <c r="I50" i="9"/>
  <c r="H50" i="9"/>
  <c r="E50" i="9"/>
  <c r="P49" i="9"/>
  <c r="M49" i="9"/>
  <c r="L49" i="9"/>
  <c r="I49" i="9"/>
  <c r="H49" i="9"/>
  <c r="E49" i="9"/>
  <c r="P48" i="9"/>
  <c r="M48" i="9"/>
  <c r="L48" i="9"/>
  <c r="I48" i="9"/>
  <c r="H48" i="9"/>
  <c r="E48" i="9"/>
  <c r="D48" i="9"/>
  <c r="P47" i="9"/>
  <c r="M47" i="9"/>
  <c r="L47" i="9"/>
  <c r="I47" i="9"/>
  <c r="H47" i="9"/>
  <c r="E47" i="9"/>
  <c r="P46" i="9"/>
  <c r="M46" i="9"/>
  <c r="L46" i="9"/>
  <c r="I46" i="9"/>
  <c r="H46" i="9"/>
  <c r="E46" i="9"/>
  <c r="D46" i="9"/>
  <c r="C46" i="9"/>
  <c r="B46" i="9"/>
  <c r="P45" i="9"/>
  <c r="M45" i="9"/>
  <c r="L45" i="9"/>
  <c r="I45" i="9"/>
  <c r="H45" i="9"/>
  <c r="E45" i="9"/>
  <c r="D45" i="9"/>
  <c r="C45" i="9"/>
  <c r="B45" i="9"/>
  <c r="P44" i="9"/>
  <c r="M44" i="9"/>
  <c r="L44" i="9"/>
  <c r="I44" i="9"/>
  <c r="H44" i="9"/>
  <c r="E44" i="9"/>
  <c r="D44" i="9"/>
  <c r="P43" i="9"/>
  <c r="M43" i="9"/>
  <c r="L43" i="9"/>
  <c r="I43" i="9"/>
  <c r="H43" i="9"/>
  <c r="E43" i="9"/>
  <c r="D43" i="9"/>
  <c r="C43" i="9"/>
  <c r="B43" i="9"/>
  <c r="P42" i="9"/>
  <c r="M42" i="9"/>
  <c r="L42" i="9"/>
  <c r="I42" i="9"/>
  <c r="H42" i="9"/>
  <c r="E42" i="9"/>
  <c r="D42" i="9"/>
  <c r="B42" i="9"/>
  <c r="P41" i="9"/>
  <c r="M41" i="9"/>
  <c r="L41" i="9"/>
  <c r="I41" i="9"/>
  <c r="H41" i="9"/>
  <c r="E41" i="9"/>
  <c r="D41" i="9"/>
  <c r="B41" i="9"/>
  <c r="P40" i="9"/>
  <c r="M40" i="9"/>
  <c r="L40" i="9"/>
  <c r="I40" i="9"/>
  <c r="H40" i="9"/>
  <c r="E40" i="9"/>
  <c r="D40" i="9"/>
  <c r="B40" i="9"/>
  <c r="P39" i="9"/>
  <c r="M39" i="9"/>
  <c r="L39" i="9"/>
  <c r="I39" i="9"/>
  <c r="H39" i="9"/>
  <c r="E39" i="9"/>
  <c r="D39" i="9"/>
  <c r="C39" i="9"/>
  <c r="B39" i="9"/>
  <c r="P38" i="9"/>
  <c r="L38" i="9"/>
  <c r="H38" i="9"/>
  <c r="D38" i="9"/>
  <c r="B38" i="9"/>
  <c r="D37" i="9"/>
  <c r="C37" i="9"/>
  <c r="B37" i="9"/>
  <c r="D36" i="9"/>
  <c r="B36" i="9"/>
  <c r="P35" i="9"/>
  <c r="L35" i="9"/>
  <c r="H35" i="9"/>
  <c r="D35" i="9"/>
  <c r="B35" i="9"/>
  <c r="P34" i="9"/>
  <c r="M34" i="9"/>
  <c r="L34" i="9"/>
  <c r="I34" i="9"/>
  <c r="H34" i="9"/>
  <c r="D34" i="9"/>
  <c r="B34" i="9"/>
  <c r="P33" i="9"/>
  <c r="M33" i="9"/>
  <c r="L33" i="9"/>
  <c r="I33" i="9"/>
  <c r="H33" i="9"/>
  <c r="E33" i="9"/>
  <c r="C33" i="9"/>
  <c r="P32" i="9"/>
  <c r="M32" i="9"/>
  <c r="L32" i="9"/>
  <c r="I32" i="9"/>
  <c r="H32" i="9"/>
  <c r="E32" i="9"/>
  <c r="C32" i="9"/>
  <c r="P31" i="9"/>
  <c r="M31" i="9"/>
  <c r="L31" i="9"/>
  <c r="I31" i="9"/>
  <c r="H31" i="9"/>
  <c r="E31" i="9"/>
  <c r="C31" i="9"/>
  <c r="P30" i="9"/>
  <c r="M30" i="9"/>
  <c r="L30" i="9"/>
  <c r="I30" i="9"/>
  <c r="H30" i="9"/>
  <c r="E30" i="9"/>
  <c r="C30" i="9"/>
  <c r="P29" i="9"/>
  <c r="M29" i="9"/>
  <c r="L29" i="9"/>
  <c r="I29" i="9"/>
  <c r="H29" i="9"/>
  <c r="E29" i="9"/>
  <c r="B29" i="9"/>
  <c r="P28" i="9"/>
  <c r="M28" i="9"/>
  <c r="L28" i="9"/>
  <c r="I28" i="9"/>
  <c r="H28" i="9"/>
  <c r="E28" i="9"/>
  <c r="B28" i="9"/>
  <c r="B32" i="9" s="1"/>
  <c r="D32" i="9" s="1"/>
  <c r="P27" i="9"/>
  <c r="M27" i="9"/>
  <c r="L27" i="9"/>
  <c r="I27" i="9"/>
  <c r="H27" i="9"/>
  <c r="E27" i="9"/>
  <c r="P26" i="9"/>
  <c r="M26" i="9"/>
  <c r="L26" i="9"/>
  <c r="I26" i="9"/>
  <c r="H26" i="9"/>
  <c r="E26" i="9"/>
  <c r="P25" i="9"/>
  <c r="M25" i="9"/>
  <c r="L25" i="9"/>
  <c r="I25" i="9"/>
  <c r="H25" i="9"/>
  <c r="E25" i="9"/>
  <c r="P24" i="9"/>
  <c r="M24" i="9"/>
  <c r="L24" i="9"/>
  <c r="I24" i="9"/>
  <c r="H24" i="9"/>
  <c r="E24" i="9"/>
  <c r="P23" i="9"/>
  <c r="M23" i="9"/>
  <c r="L23" i="9"/>
  <c r="I23" i="9"/>
  <c r="H23" i="9"/>
  <c r="E23" i="9"/>
  <c r="B23" i="9"/>
  <c r="P22" i="9"/>
  <c r="M22" i="9"/>
  <c r="L22" i="9"/>
  <c r="I22" i="9"/>
  <c r="H22" i="9"/>
  <c r="E22" i="9"/>
  <c r="P21" i="9"/>
  <c r="M21" i="9"/>
  <c r="L21" i="9"/>
  <c r="I21" i="9"/>
  <c r="H21" i="9"/>
  <c r="E21" i="9"/>
  <c r="B21" i="9"/>
  <c r="P20" i="9"/>
  <c r="M20" i="9"/>
  <c r="L20" i="9"/>
  <c r="I20" i="9"/>
  <c r="H20" i="9"/>
  <c r="E20" i="9"/>
  <c r="B20" i="9"/>
  <c r="P19" i="9"/>
  <c r="M19" i="9"/>
  <c r="L19" i="9"/>
  <c r="I19" i="9"/>
  <c r="H19" i="9"/>
  <c r="E19" i="9"/>
  <c r="P18" i="9"/>
  <c r="M18" i="9"/>
  <c r="L18" i="9"/>
  <c r="I18" i="9"/>
  <c r="H18" i="9"/>
  <c r="E18" i="9"/>
  <c r="B18" i="9"/>
  <c r="P17" i="9"/>
  <c r="M17" i="9"/>
  <c r="L17" i="9"/>
  <c r="I17" i="9"/>
  <c r="H17" i="9"/>
  <c r="E17" i="9"/>
  <c r="B17" i="9"/>
  <c r="P16" i="9"/>
  <c r="M16" i="9"/>
  <c r="L16" i="9"/>
  <c r="I16" i="9"/>
  <c r="H16" i="9"/>
  <c r="E16" i="9"/>
  <c r="P15" i="9"/>
  <c r="M15" i="9"/>
  <c r="L15" i="9"/>
  <c r="I15" i="9"/>
  <c r="H15" i="9"/>
  <c r="E15" i="9"/>
  <c r="P14" i="9"/>
  <c r="M14" i="9"/>
  <c r="L14" i="9"/>
  <c r="I14" i="9"/>
  <c r="H14" i="9"/>
  <c r="E14" i="9"/>
  <c r="B14" i="9"/>
  <c r="P13" i="9"/>
  <c r="M13" i="9"/>
  <c r="L13" i="9"/>
  <c r="I13" i="9"/>
  <c r="H13" i="9"/>
  <c r="E13" i="9"/>
  <c r="B13" i="9"/>
  <c r="P12" i="9"/>
  <c r="M12" i="9"/>
  <c r="L12" i="9"/>
  <c r="I12" i="9"/>
  <c r="H12" i="9"/>
  <c r="E12" i="9"/>
  <c r="B12" i="9"/>
  <c r="P11" i="9"/>
  <c r="M11" i="9"/>
  <c r="L11" i="9"/>
  <c r="I11" i="9"/>
  <c r="H11" i="9"/>
  <c r="E11" i="9"/>
  <c r="P10" i="9"/>
  <c r="M10" i="9"/>
  <c r="L10" i="9"/>
  <c r="I10" i="9"/>
  <c r="H10" i="9"/>
  <c r="E10" i="9"/>
  <c r="B10" i="9"/>
  <c r="P9" i="9"/>
  <c r="M9" i="9"/>
  <c r="L9" i="9"/>
  <c r="I9" i="9"/>
  <c r="H9" i="9"/>
  <c r="E9" i="9"/>
  <c r="P8" i="9"/>
  <c r="M8" i="9"/>
  <c r="L8" i="9"/>
  <c r="I8" i="9"/>
  <c r="H8" i="9"/>
  <c r="E8" i="9"/>
  <c r="P7" i="9"/>
  <c r="M7" i="9"/>
  <c r="L7" i="9"/>
  <c r="I7" i="9"/>
  <c r="H7" i="9"/>
  <c r="E7" i="9"/>
  <c r="P6" i="9"/>
  <c r="M6" i="9"/>
  <c r="L6" i="9"/>
  <c r="I6" i="9"/>
  <c r="H6" i="9"/>
  <c r="E6" i="9"/>
  <c r="P5" i="9"/>
  <c r="M5" i="9"/>
  <c r="L5" i="9"/>
  <c r="I5" i="9"/>
  <c r="H5" i="9"/>
  <c r="E5" i="9"/>
  <c r="P4" i="9"/>
  <c r="L4" i="9"/>
  <c r="H4" i="9"/>
  <c r="L69" i="13"/>
  <c r="H69" i="13"/>
  <c r="L68" i="13"/>
  <c r="H68" i="13"/>
  <c r="M67" i="13"/>
  <c r="L67" i="13"/>
  <c r="H67" i="13"/>
  <c r="B67" i="13"/>
  <c r="M66" i="13"/>
  <c r="L66" i="13"/>
  <c r="H66" i="13"/>
  <c r="M65" i="13"/>
  <c r="L65" i="13"/>
  <c r="H65" i="13"/>
  <c r="M64" i="13"/>
  <c r="L64" i="13"/>
  <c r="H64" i="13"/>
  <c r="M63" i="13"/>
  <c r="L63" i="13"/>
  <c r="H63" i="13"/>
  <c r="M62" i="13"/>
  <c r="L62" i="13"/>
  <c r="I62" i="13"/>
  <c r="H62" i="13"/>
  <c r="E62" i="13"/>
  <c r="M61" i="13"/>
  <c r="L61" i="13"/>
  <c r="I61" i="13"/>
  <c r="H61" i="13"/>
  <c r="E61" i="13"/>
  <c r="M60" i="13"/>
  <c r="L60" i="13"/>
  <c r="I60" i="13"/>
  <c r="H60" i="13"/>
  <c r="E60" i="13"/>
  <c r="M59" i="13"/>
  <c r="L59" i="13"/>
  <c r="I59" i="13"/>
  <c r="H59" i="13"/>
  <c r="E59" i="13"/>
  <c r="M58" i="13"/>
  <c r="L58" i="13"/>
  <c r="I58" i="13"/>
  <c r="H58" i="13"/>
  <c r="E58" i="13"/>
  <c r="M57" i="13"/>
  <c r="L57" i="13"/>
  <c r="I57" i="13"/>
  <c r="H57" i="13"/>
  <c r="E57" i="13"/>
  <c r="M56" i="13"/>
  <c r="L56" i="13"/>
  <c r="I56" i="13"/>
  <c r="H56" i="13"/>
  <c r="E56" i="13"/>
  <c r="M55" i="13"/>
  <c r="L55" i="13"/>
  <c r="I55" i="13"/>
  <c r="H55" i="13"/>
  <c r="E55" i="13"/>
  <c r="M54" i="13"/>
  <c r="L54" i="13"/>
  <c r="I54" i="13"/>
  <c r="H54" i="13"/>
  <c r="E54" i="13"/>
  <c r="M53" i="13"/>
  <c r="L53" i="13"/>
  <c r="I53" i="13"/>
  <c r="H53" i="13"/>
  <c r="E53" i="13"/>
  <c r="M52" i="13"/>
  <c r="L52" i="13"/>
  <c r="I52" i="13"/>
  <c r="H52" i="13"/>
  <c r="E52" i="13"/>
  <c r="M51" i="13"/>
  <c r="L51" i="13"/>
  <c r="I51" i="13"/>
  <c r="H51" i="13"/>
  <c r="E51" i="13"/>
  <c r="M50" i="13"/>
  <c r="L50" i="13"/>
  <c r="I50" i="13"/>
  <c r="H50" i="13"/>
  <c r="E50" i="13"/>
  <c r="M49" i="13"/>
  <c r="L49" i="13"/>
  <c r="I49" i="13"/>
  <c r="H49" i="13"/>
  <c r="E49" i="13"/>
  <c r="M48" i="13"/>
  <c r="L48" i="13"/>
  <c r="I48" i="13"/>
  <c r="H48" i="13"/>
  <c r="E48" i="13"/>
  <c r="D48" i="13"/>
  <c r="C48" i="13"/>
  <c r="B48" i="13"/>
  <c r="M47" i="13"/>
  <c r="L47" i="13"/>
  <c r="I47" i="13"/>
  <c r="H47" i="13"/>
  <c r="E47" i="13"/>
  <c r="C47" i="13"/>
  <c r="M46" i="13"/>
  <c r="L46" i="13"/>
  <c r="I46" i="13"/>
  <c r="H46" i="13"/>
  <c r="E46" i="13"/>
  <c r="C46" i="13"/>
  <c r="M45" i="13"/>
  <c r="L45" i="13"/>
  <c r="I45" i="13"/>
  <c r="H45" i="13"/>
  <c r="E45" i="13"/>
  <c r="D45" i="13"/>
  <c r="B45" i="13"/>
  <c r="M44" i="13"/>
  <c r="L44" i="13"/>
  <c r="I44" i="13"/>
  <c r="H44" i="13"/>
  <c r="E44" i="13"/>
  <c r="M43" i="13"/>
  <c r="L43" i="13"/>
  <c r="I43" i="13"/>
  <c r="H43" i="13"/>
  <c r="E43" i="13"/>
  <c r="M42" i="13"/>
  <c r="L42" i="13"/>
  <c r="I42" i="13"/>
  <c r="H42" i="13"/>
  <c r="E42" i="13"/>
  <c r="C42" i="13"/>
  <c r="M41" i="13"/>
  <c r="L41" i="13"/>
  <c r="I41" i="13"/>
  <c r="H41" i="13"/>
  <c r="E41" i="13"/>
  <c r="D41" i="13"/>
  <c r="B41" i="13"/>
  <c r="P40" i="13"/>
  <c r="P41" i="13" s="1"/>
  <c r="P42" i="13" s="1"/>
  <c r="P43" i="13" s="1"/>
  <c r="P44" i="13" s="1"/>
  <c r="P45" i="13" s="1"/>
  <c r="P46" i="13" s="1"/>
  <c r="P47" i="13" s="1"/>
  <c r="P48" i="13" s="1"/>
  <c r="P49" i="13" s="1"/>
  <c r="P50" i="13" s="1"/>
  <c r="P51" i="13" s="1"/>
  <c r="P52" i="13" s="1"/>
  <c r="P53" i="13" s="1"/>
  <c r="P54" i="13" s="1"/>
  <c r="P55" i="13" s="1"/>
  <c r="P56" i="13" s="1"/>
  <c r="P57" i="13" s="1"/>
  <c r="P58" i="13" s="1"/>
  <c r="P59" i="13" s="1"/>
  <c r="P60" i="13" s="1"/>
  <c r="P61" i="13" s="1"/>
  <c r="P62" i="13" s="1"/>
  <c r="M40" i="13"/>
  <c r="L40" i="13"/>
  <c r="I40" i="13"/>
  <c r="H40" i="13"/>
  <c r="E40" i="13"/>
  <c r="P39" i="13"/>
  <c r="M39" i="13"/>
  <c r="L39" i="13"/>
  <c r="I39" i="13"/>
  <c r="H39" i="13"/>
  <c r="E39" i="13"/>
  <c r="P38" i="13"/>
  <c r="L38" i="13"/>
  <c r="H38" i="13"/>
  <c r="D38" i="13"/>
  <c r="B38" i="13"/>
  <c r="C37" i="13"/>
  <c r="D35" i="13"/>
  <c r="B35" i="13"/>
  <c r="M34" i="13"/>
  <c r="I34" i="13"/>
  <c r="M33" i="13"/>
  <c r="I33" i="13"/>
  <c r="E33" i="13"/>
  <c r="M32" i="13"/>
  <c r="I32" i="13"/>
  <c r="E32" i="13"/>
  <c r="D32" i="13"/>
  <c r="C32" i="13"/>
  <c r="B32" i="13"/>
  <c r="M31" i="13"/>
  <c r="I31" i="13"/>
  <c r="E31" i="13"/>
  <c r="C31" i="13"/>
  <c r="M30" i="13"/>
  <c r="I30" i="13"/>
  <c r="E30" i="13"/>
  <c r="C30" i="13"/>
  <c r="M29" i="13"/>
  <c r="I29" i="13"/>
  <c r="E29" i="13"/>
  <c r="B29" i="13"/>
  <c r="M28" i="13"/>
  <c r="I28" i="13"/>
  <c r="E28" i="13"/>
  <c r="B28" i="13"/>
  <c r="B42" i="13" s="1"/>
  <c r="D42" i="13" s="1"/>
  <c r="D52" i="13" s="1"/>
  <c r="M27" i="13"/>
  <c r="I27" i="13"/>
  <c r="E27" i="13"/>
  <c r="M26" i="13"/>
  <c r="I26" i="13"/>
  <c r="E26" i="13"/>
  <c r="M25" i="13"/>
  <c r="I25" i="13"/>
  <c r="E25" i="13"/>
  <c r="M24" i="13"/>
  <c r="I24" i="13"/>
  <c r="E24" i="13"/>
  <c r="M23" i="13"/>
  <c r="I23" i="13"/>
  <c r="E23" i="13"/>
  <c r="M22" i="13"/>
  <c r="I22" i="13"/>
  <c r="E22" i="13"/>
  <c r="M21" i="13"/>
  <c r="I21" i="13"/>
  <c r="E21" i="13"/>
  <c r="M20" i="13"/>
  <c r="I20" i="13"/>
  <c r="E20" i="13"/>
  <c r="M19" i="13"/>
  <c r="I19" i="13"/>
  <c r="E19" i="13"/>
  <c r="M18" i="13"/>
  <c r="I18" i="13"/>
  <c r="E18" i="13"/>
  <c r="B18" i="13"/>
  <c r="M17" i="13"/>
  <c r="I17" i="13"/>
  <c r="E17" i="13"/>
  <c r="B17" i="13"/>
  <c r="B20" i="13" s="1"/>
  <c r="M16" i="13"/>
  <c r="I16" i="13"/>
  <c r="E16" i="13"/>
  <c r="M15" i="13"/>
  <c r="I15" i="13"/>
  <c r="E15" i="13"/>
  <c r="M14" i="13"/>
  <c r="I14" i="13"/>
  <c r="E14" i="13"/>
  <c r="B14" i="13"/>
  <c r="B23" i="13" s="1"/>
  <c r="M13" i="13"/>
  <c r="I13" i="13"/>
  <c r="E13" i="13"/>
  <c r="B13" i="13"/>
  <c r="M12" i="13"/>
  <c r="I12" i="13"/>
  <c r="E12" i="13"/>
  <c r="B12" i="13"/>
  <c r="M11" i="13"/>
  <c r="I11" i="13"/>
  <c r="E11" i="13"/>
  <c r="M10" i="13"/>
  <c r="I10" i="13"/>
  <c r="E10" i="13"/>
  <c r="B10" i="13"/>
  <c r="M9" i="13"/>
  <c r="I9" i="13"/>
  <c r="E9" i="13"/>
  <c r="M8" i="13"/>
  <c r="I8" i="13"/>
  <c r="E8" i="13"/>
  <c r="M7" i="13"/>
  <c r="I7" i="13"/>
  <c r="E7" i="13"/>
  <c r="M6" i="13"/>
  <c r="I6" i="13"/>
  <c r="E6" i="13"/>
  <c r="M5" i="13"/>
  <c r="I5" i="13"/>
  <c r="E5" i="13"/>
  <c r="H4" i="13"/>
  <c r="H5" i="13" s="1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L4" i="13" s="1"/>
  <c r="L5" i="13" s="1"/>
  <c r="L6" i="13" s="1"/>
  <c r="L7" i="13" s="1"/>
  <c r="L8" i="13" s="1"/>
  <c r="L9" i="13" s="1"/>
  <c r="L10" i="13" s="1"/>
  <c r="L11" i="13" s="1"/>
  <c r="L12" i="13" s="1"/>
  <c r="L13" i="13" s="1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L34" i="13" s="1"/>
  <c r="L35" i="13" s="1"/>
  <c r="P4" i="13" s="1"/>
  <c r="P5" i="13" s="1"/>
  <c r="P6" i="13" s="1"/>
  <c r="P7" i="13" s="1"/>
  <c r="P8" i="13" s="1"/>
  <c r="P9" i="13" s="1"/>
  <c r="P10" i="13" s="1"/>
  <c r="P11" i="13" s="1"/>
  <c r="P12" i="13" s="1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P35" i="13" s="1"/>
  <c r="D35" i="14" l="1"/>
  <c r="B41" i="14"/>
  <c r="D41" i="14" s="1"/>
  <c r="B44" i="14"/>
  <c r="D44" i="14" s="1"/>
  <c r="B47" i="14"/>
  <c r="D47" i="14" s="1"/>
  <c r="B34" i="14"/>
  <c r="D31" i="14"/>
  <c r="B37" i="14"/>
  <c r="D37" i="14" s="1"/>
  <c r="B46" i="14"/>
  <c r="D46" i="14" s="1"/>
  <c r="B43" i="14"/>
  <c r="D43" i="14" s="1"/>
  <c r="B36" i="14"/>
  <c r="D36" i="14" s="1"/>
  <c r="B33" i="14"/>
  <c r="D30" i="14"/>
  <c r="H68" i="14"/>
  <c r="H69" i="14" s="1"/>
  <c r="L38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59" i="14" s="1"/>
  <c r="L60" i="14" s="1"/>
  <c r="L61" i="14" s="1"/>
  <c r="L62" i="14" s="1"/>
  <c r="L63" i="14" s="1"/>
  <c r="L64" i="14" s="1"/>
  <c r="L65" i="14" s="1"/>
  <c r="L66" i="14" s="1"/>
  <c r="L67" i="14" s="1"/>
  <c r="L68" i="14" s="1"/>
  <c r="L69" i="14" s="1"/>
  <c r="P38" i="14" s="1"/>
  <c r="P39" i="14" s="1"/>
  <c r="P40" i="14" s="1"/>
  <c r="P41" i="14" s="1"/>
  <c r="P42" i="14" s="1"/>
  <c r="P43" i="14" s="1"/>
  <c r="P44" i="14" s="1"/>
  <c r="P45" i="14" s="1"/>
  <c r="P46" i="14" s="1"/>
  <c r="P47" i="14" s="1"/>
  <c r="P48" i="14" s="1"/>
  <c r="P49" i="14" s="1"/>
  <c r="P50" i="14" s="1"/>
  <c r="P51" i="14" s="1"/>
  <c r="P52" i="14" s="1"/>
  <c r="P53" i="14" s="1"/>
  <c r="P54" i="14" s="1"/>
  <c r="P55" i="14" s="1"/>
  <c r="P56" i="14" s="1"/>
  <c r="P57" i="14" s="1"/>
  <c r="P58" i="14" s="1"/>
  <c r="P59" i="14" s="1"/>
  <c r="P60" i="14" s="1"/>
  <c r="P61" i="14" s="1"/>
  <c r="P62" i="14" s="1"/>
  <c r="H63" i="14"/>
  <c r="H64" i="14" s="1"/>
  <c r="H65" i="14" s="1"/>
  <c r="H66" i="14" s="1"/>
  <c r="P68" i="13"/>
  <c r="P69" i="13" s="1"/>
  <c r="P63" i="13"/>
  <c r="P64" i="13" s="1"/>
  <c r="P65" i="13" s="1"/>
  <c r="P66" i="13" s="1"/>
  <c r="P67" i="13" s="1"/>
  <c r="B30" i="13"/>
  <c r="B31" i="13"/>
  <c r="B21" i="13"/>
  <c r="B30" i="10"/>
  <c r="D30" i="10" s="1"/>
  <c r="B31" i="10"/>
  <c r="D31" i="10" s="1"/>
  <c r="B30" i="9"/>
  <c r="D30" i="9" s="1"/>
  <c r="B31" i="9"/>
  <c r="D31" i="9" s="1"/>
  <c r="B33" i="9"/>
  <c r="D33" i="9" s="1"/>
  <c r="B31" i="11"/>
  <c r="D31" i="11" s="1"/>
  <c r="B32" i="11"/>
  <c r="D32" i="11" s="1"/>
  <c r="B33" i="11"/>
  <c r="D33" i="11" s="1"/>
  <c r="B31" i="12"/>
  <c r="D31" i="12" s="1"/>
  <c r="B32" i="12"/>
  <c r="D32" i="12" s="1"/>
  <c r="B33" i="12"/>
  <c r="D33" i="12" s="1"/>
  <c r="B32" i="10"/>
  <c r="D32" i="10" s="1"/>
  <c r="D52" i="14" l="1"/>
  <c r="D33" i="14"/>
  <c r="B39" i="14"/>
  <c r="D39" i="14" s="1"/>
  <c r="P68" i="14"/>
  <c r="P69" i="14" s="1"/>
  <c r="P63" i="14"/>
  <c r="P64" i="14" s="1"/>
  <c r="P65" i="14" s="1"/>
  <c r="P66" i="14" s="1"/>
  <c r="P67" i="14" s="1"/>
  <c r="D34" i="14"/>
  <c r="B40" i="14"/>
  <c r="D40" i="14" s="1"/>
  <c r="B34" i="13"/>
  <c r="D31" i="13"/>
  <c r="B47" i="13"/>
  <c r="D47" i="13" s="1"/>
  <c r="B37" i="13"/>
  <c r="D37" i="13" s="1"/>
  <c r="B44" i="13"/>
  <c r="D44" i="13" s="1"/>
  <c r="B36" i="13"/>
  <c r="D36" i="13" s="1"/>
  <c r="B33" i="13"/>
  <c r="D30" i="13"/>
  <c r="B46" i="13"/>
  <c r="D46" i="13" s="1"/>
  <c r="B43" i="13"/>
  <c r="D43" i="13" s="1"/>
  <c r="D49" i="10"/>
  <c r="B2" i="10" s="1"/>
  <c r="B67" i="10" s="1"/>
  <c r="D49" i="9"/>
  <c r="B2" i="9" s="1"/>
  <c r="B67" i="9" s="1"/>
  <c r="D50" i="11"/>
  <c r="B2" i="11" s="1"/>
  <c r="B68" i="11" s="1"/>
  <c r="D50" i="12"/>
  <c r="B2" i="12" s="1"/>
  <c r="B68" i="12" s="1"/>
  <c r="D51" i="14" l="1"/>
  <c r="B2" i="14" s="1"/>
  <c r="B70" i="14" s="1"/>
  <c r="B39" i="13"/>
  <c r="D39" i="13" s="1"/>
  <c r="D33" i="13"/>
  <c r="B40" i="13"/>
  <c r="D40" i="13" s="1"/>
  <c r="D51" i="13" s="1"/>
  <c r="B2" i="13" s="1"/>
  <c r="B70" i="13" s="1"/>
  <c r="D34" i="13"/>
</calcChain>
</file>

<file path=xl/sharedStrings.xml><?xml version="1.0" encoding="utf-8"?>
<sst xmlns="http://schemas.openxmlformats.org/spreadsheetml/2006/main" count="2888" uniqueCount="418">
  <si>
    <t>Giorni</t>
  </si>
  <si>
    <t>Quota fissa</t>
  </si>
  <si>
    <t>Accise 250 M3</t>
  </si>
  <si>
    <t>Accise oltre 250 M3</t>
  </si>
  <si>
    <t>Metri cubi</t>
  </si>
  <si>
    <t>Tariffa</t>
  </si>
  <si>
    <t>Importo</t>
  </si>
  <si>
    <t>Totale + IVA 20%</t>
  </si>
  <si>
    <t>Quantità</t>
  </si>
  <si>
    <t>Lettura</t>
  </si>
  <si>
    <t>Ora</t>
  </si>
  <si>
    <t>Diff.</t>
  </si>
  <si>
    <t>Gennaio</t>
  </si>
  <si>
    <t>Febbraio</t>
  </si>
  <si>
    <t>Marzo</t>
  </si>
  <si>
    <t>Quota variabile 2° sc.</t>
  </si>
  <si>
    <t>Importo vendita 2° sc.</t>
  </si>
  <si>
    <t>Quota variabile 3° sc.</t>
  </si>
  <si>
    <t>Importo vendita 3° sc.</t>
  </si>
  <si>
    <t>Novembre</t>
  </si>
  <si>
    <t>Dicembre</t>
  </si>
  <si>
    <t>Aprile</t>
  </si>
  <si>
    <t>Quota variabile 1° sc.</t>
  </si>
  <si>
    <t>Importo vendita 1° sc.</t>
  </si>
  <si>
    <t>Progressivo</t>
  </si>
  <si>
    <t>SAB</t>
  </si>
  <si>
    <t>DOM</t>
  </si>
  <si>
    <t>Dal 31/7/2006 al 30/09/2006</t>
  </si>
  <si>
    <t>Totale 2006/2007</t>
  </si>
  <si>
    <t>GAS METANO 2006-07</t>
  </si>
  <si>
    <t>VEN</t>
  </si>
  <si>
    <t>NAT</t>
  </si>
  <si>
    <t>S.S</t>
  </si>
  <si>
    <t>CAP</t>
  </si>
  <si>
    <t>PAS</t>
  </si>
  <si>
    <t>SAN</t>
  </si>
  <si>
    <t>Dal 25/1/2007 al 31/3/2007</t>
  </si>
  <si>
    <t>Dal 1/10/2006 al 25/1/2007</t>
  </si>
  <si>
    <t>M3 pagati in più: 10</t>
  </si>
  <si>
    <t>Totale 2007/2008</t>
  </si>
  <si>
    <t>GAS METANO 2007-08</t>
  </si>
  <si>
    <t>Dal 31/3/2007 al 31/7/2007</t>
  </si>
  <si>
    <t>Lettura presunta al 31/3</t>
  </si>
  <si>
    <t>Lettura effettiva al 31/3</t>
  </si>
  <si>
    <t>*</t>
  </si>
  <si>
    <t>LUN</t>
  </si>
  <si>
    <t>MAR</t>
  </si>
  <si>
    <t>MER</t>
  </si>
  <si>
    <t>Dal 1/8/2007 al 11/10/2007</t>
  </si>
  <si>
    <t>GIO</t>
  </si>
  <si>
    <t>Dal 3/12/2007 al 31/1/2008</t>
  </si>
  <si>
    <t>Totale + IVA 10%</t>
  </si>
  <si>
    <t>PASQ</t>
  </si>
  <si>
    <t>FES</t>
  </si>
  <si>
    <t>Quota fissa vendita</t>
  </si>
  <si>
    <t>Accise fino a 480 M3/A</t>
  </si>
  <si>
    <t>Accise oltre 480 M3</t>
  </si>
  <si>
    <t>Dal 31/1/2008 al 31/3/2008</t>
  </si>
  <si>
    <t>Ultima lettura</t>
  </si>
  <si>
    <t>Totale 2008/2009</t>
  </si>
  <si>
    <t>GAS METANO 2008-09</t>
  </si>
  <si>
    <t>Dal 31/3/2007 al 07/6/2008</t>
  </si>
  <si>
    <t>Lettura effettiva 07/06/2008</t>
  </si>
  <si>
    <t>Lettura al 08/10/2008</t>
  </si>
  <si>
    <t>Metri cubi totali 06/07</t>
  </si>
  <si>
    <t>Totale metri cubi 07/08</t>
  </si>
  <si>
    <t>Spesa Prevista al 30.4.2009</t>
  </si>
  <si>
    <t>IMM</t>
  </si>
  <si>
    <t>S.ST</t>
  </si>
  <si>
    <t>Totale metri cubi  08/09</t>
  </si>
  <si>
    <t>Dal 8/10 al 27/11/2008</t>
  </si>
  <si>
    <t>Lettura al 27/11/2008</t>
  </si>
  <si>
    <t>ANG</t>
  </si>
  <si>
    <t>Dal 27/11/2008 al 15/1/2009</t>
  </si>
  <si>
    <t>Dal 15/1/2009 al 31/3/2009</t>
  </si>
  <si>
    <t>Accise fino a 120 M3/A</t>
  </si>
  <si>
    <t>Accise oltre 1560 M3/A</t>
  </si>
  <si>
    <t>Lettura effettiva al 30/4</t>
  </si>
  <si>
    <t>Lettura al 15/1/2009</t>
  </si>
  <si>
    <t>Totale 2009/2010</t>
  </si>
  <si>
    <t>Totale metri cubi  2009/10</t>
  </si>
  <si>
    <t>Lettura al 31/3/2009</t>
  </si>
  <si>
    <t>Spesa Prevista al 30.4.2010</t>
  </si>
  <si>
    <t>EPIF</t>
  </si>
  <si>
    <t>GAS METANO 2009-10</t>
  </si>
  <si>
    <t>Metri cubi standard</t>
  </si>
  <si>
    <t>x anno</t>
  </si>
  <si>
    <t>Quota fissa positiva</t>
  </si>
  <si>
    <t>Quota fissa negativa</t>
  </si>
  <si>
    <t>Quota fissa UG2</t>
  </si>
  <si>
    <t>Quota fissa distribuzione</t>
  </si>
  <si>
    <t>Quota fissa costi comm.</t>
  </si>
  <si>
    <t>Maggioraz. costi commerc.</t>
  </si>
  <si>
    <t>Accise da 1 a 120 M3/a</t>
  </si>
  <si>
    <t>Accise da 121 a 480 M3/a</t>
  </si>
  <si>
    <t>Accise da 481 a 1560 M3/a</t>
  </si>
  <si>
    <t>Totale + IVA 10% ( 1+2 sc. )</t>
  </si>
  <si>
    <t>Totale + IVA 20% ( 3 sc. )</t>
  </si>
  <si>
    <t xml:space="preserve"> 2°sc (UG2+UG1+RE+RS)</t>
  </si>
  <si>
    <t xml:space="preserve"> 3°sc (UG2+UG1+RE+RS)</t>
  </si>
  <si>
    <t>Spese fisse contratto</t>
  </si>
  <si>
    <t>Dal 27/11/2009 al 17/12/2009</t>
  </si>
  <si>
    <t>Dal 8/10 al 27/11/2009</t>
  </si>
  <si>
    <t>Lettura al 17/12/2009</t>
  </si>
  <si>
    <t>Totale metri cubi  anno 2010</t>
  </si>
  <si>
    <t>Dal 17/12/2009 al 23/3/2010</t>
  </si>
  <si>
    <t xml:space="preserve"> 1°sc (UG1+RE+RS)</t>
  </si>
  <si>
    <t>Lettura al 30/4/2010</t>
  </si>
  <si>
    <t>Lettura al 23/3/2010</t>
  </si>
  <si>
    <t>Totale 2010/2011</t>
  </si>
  <si>
    <t>Totale metri cubi  2010/11</t>
  </si>
  <si>
    <t>Totale metri cubi  anno 2011</t>
  </si>
  <si>
    <t>M3 inizio 2010-ultima lettura</t>
  </si>
  <si>
    <t>Dal 1/6/2005 al 3/12/2005</t>
  </si>
  <si>
    <t>Dal 3/12/2005 al 31/12/2005</t>
  </si>
  <si>
    <t>Dal 1/1/2006 al 14/2/2006</t>
  </si>
  <si>
    <t>Dal 14/2/2006 al 31/3/2006</t>
  </si>
  <si>
    <t>EPI</t>
  </si>
  <si>
    <t>Totale 2005/2006</t>
  </si>
  <si>
    <t>GAS METANO 2005-06</t>
  </si>
  <si>
    <t>Fine</t>
  </si>
  <si>
    <t>GAS METANO</t>
  </si>
  <si>
    <t>Sab 8/1</t>
  </si>
  <si>
    <t>Mar 1/2</t>
  </si>
  <si>
    <t>Mar 1/3</t>
  </si>
  <si>
    <t>Lun 10/1</t>
  </si>
  <si>
    <t>Mer 2/2</t>
  </si>
  <si>
    <t>Mer 2/3</t>
  </si>
  <si>
    <t>Mer 12/1</t>
  </si>
  <si>
    <t>Gio 3/2</t>
  </si>
  <si>
    <t>Gio 3/3</t>
  </si>
  <si>
    <t>Gio 13/1</t>
  </si>
  <si>
    <t>Ven 4/2</t>
  </si>
  <si>
    <t>Ven 4/3</t>
  </si>
  <si>
    <t>Ven 14/1</t>
  </si>
  <si>
    <t>Lun 7/2</t>
  </si>
  <si>
    <t>Sab 5/3</t>
  </si>
  <si>
    <t>Lun 17/1</t>
  </si>
  <si>
    <t>Mar 8/2</t>
  </si>
  <si>
    <t>Lun 7/3</t>
  </si>
  <si>
    <t>Mar 18/1</t>
  </si>
  <si>
    <t>Mer 9/2</t>
  </si>
  <si>
    <t>Mar 8/3</t>
  </si>
  <si>
    <t>Mer 19/1</t>
  </si>
  <si>
    <t>Gio 10/2</t>
  </si>
  <si>
    <t>Mer 9/3</t>
  </si>
  <si>
    <t>Gio 20/1</t>
  </si>
  <si>
    <t>Ven 11/2</t>
  </si>
  <si>
    <t>Gio 10/3</t>
  </si>
  <si>
    <t>Ven 21/1</t>
  </si>
  <si>
    <t>Lun 14/2</t>
  </si>
  <si>
    <t>Ven 11/3</t>
  </si>
  <si>
    <t>Lun 24/1</t>
  </si>
  <si>
    <t>Mar 15/2</t>
  </si>
  <si>
    <t>Lun 14/3</t>
  </si>
  <si>
    <t>Mar 25/1</t>
  </si>
  <si>
    <t>Mer 16/2</t>
  </si>
  <si>
    <t>Mar 15/3</t>
  </si>
  <si>
    <t>Mer 26/1</t>
  </si>
  <si>
    <t>Gio 17/2</t>
  </si>
  <si>
    <t>Mer 16/3</t>
  </si>
  <si>
    <t>Gio 27/1</t>
  </si>
  <si>
    <t>Ven 18/2</t>
  </si>
  <si>
    <t>Gio 17/3</t>
  </si>
  <si>
    <t>Stima al 31/3 ( M3 )</t>
  </si>
  <si>
    <t>Ven 28/1</t>
  </si>
  <si>
    <t>Sab 19/2</t>
  </si>
  <si>
    <t>Ven 18/3</t>
  </si>
  <si>
    <t>Stima al 31/3 ( contatore )</t>
  </si>
  <si>
    <t>Lun 31/1</t>
  </si>
  <si>
    <t>Lun 21/2</t>
  </si>
  <si>
    <t>Lun 21/3</t>
  </si>
  <si>
    <t>Mar 22/2</t>
  </si>
  <si>
    <t>Mar 22/3</t>
  </si>
  <si>
    <t>Mer 23/2</t>
  </si>
  <si>
    <t>Mer 23/3</t>
  </si>
  <si>
    <t>Obiettivo al 22/2  ( M3 )</t>
  </si>
  <si>
    <t>Gio 24/2</t>
  </si>
  <si>
    <t>Gio 24/3</t>
  </si>
  <si>
    <t>Stima al 31/3</t>
  </si>
  <si>
    <t>Ven 25/2</t>
  </si>
  <si>
    <t>Ven 25/3</t>
  </si>
  <si>
    <t>Consumo giornaliero ( M3 )</t>
  </si>
  <si>
    <t>Sab 26/2</t>
  </si>
  <si>
    <t>Mar 29/3</t>
  </si>
  <si>
    <t>Lun 28/2</t>
  </si>
  <si>
    <t>Mer 30/3</t>
  </si>
  <si>
    <t>Gio 31/3</t>
  </si>
  <si>
    <t>Dal 23/3 al 17/5/2010</t>
  </si>
  <si>
    <t>Spesa Prevista al 30.4.2011</t>
  </si>
  <si>
    <t>Presunta ASM al 1/1/2010</t>
  </si>
  <si>
    <t>Dal ??/??/20?? al ??/??/20??</t>
  </si>
  <si>
    <t>Importo vendita 2° sc. 2010</t>
  </si>
  <si>
    <t>Importo vendita 2° sc. 2011</t>
  </si>
  <si>
    <t>Coefficiente</t>
  </si>
  <si>
    <t>Rif 3° sc. 2010</t>
  </si>
  <si>
    <t>Rif 2° sc. 2011</t>
  </si>
  <si>
    <t>Rif 1° sc. 2011</t>
  </si>
  <si>
    <t>Rif 2° 2010 e 2° 2011</t>
  </si>
  <si>
    <t>M3 inizio 2011-ultima lettura</t>
  </si>
  <si>
    <t>Se unica lettura 2010-2011</t>
  </si>
  <si>
    <t>Accisa fino a 120 M3/A</t>
  </si>
  <si>
    <t>Accisa fino a 480 M3/A</t>
  </si>
  <si>
    <t>Accisa oltre 1560 M3/A</t>
  </si>
  <si>
    <t>29/2</t>
  </si>
  <si>
    <t>&lt;- MODIFICA!</t>
  </si>
  <si>
    <t>Dal 18/5/2010 al 30/9/2010</t>
  </si>
  <si>
    <t>Dal 01/10/2010 al 09/12/2010</t>
  </si>
  <si>
    <t>GAS METANO 2010-11</t>
  </si>
  <si>
    <t>Conguaglio al 09/12/2010</t>
  </si>
  <si>
    <t>ITA</t>
  </si>
  <si>
    <t>Dal 09/12/2010 al 28/02/2011</t>
  </si>
  <si>
    <t>Spesa Prevista al 30.4.2012</t>
  </si>
  <si>
    <t>Totale 2011/2012</t>
  </si>
  <si>
    <t>Totale metri cubi  2011/12</t>
  </si>
  <si>
    <t>Totale metri cubi  anno 2012</t>
  </si>
  <si>
    <t>M3 inizio 2012-ultima lettura</t>
  </si>
  <si>
    <t>Rif 3° sc. 2011</t>
  </si>
  <si>
    <t>Rif 1° sc. 2012</t>
  </si>
  <si>
    <t>Rif 2° sc. 2012</t>
  </si>
  <si>
    <t>Rif 2° 2011 e 2° 2012</t>
  </si>
  <si>
    <t>Se unica lettura 2011-2012</t>
  </si>
  <si>
    <t>GAS METANO 2011-12</t>
  </si>
  <si>
    <t>Importo vendita 2° sc. 2012</t>
  </si>
  <si>
    <t>Dal 28/02/2011 al 21/04/2011</t>
  </si>
  <si>
    <t>Dal 21/04/2011 al 30/09/2011</t>
  </si>
  <si>
    <t>10.00</t>
  </si>
  <si>
    <t>Dal 01/10/2011 al 30/11/2011</t>
  </si>
  <si>
    <t>Totale + IVA 21% ( 3 sc. )</t>
  </si>
  <si>
    <t>Dal 21/04/2011 al 16/12/2011</t>
  </si>
  <si>
    <t>Dal 16/12/2011 al 29/02/2012</t>
  </si>
  <si>
    <t>Dal 16/12/2011 al 24/04/2012</t>
  </si>
  <si>
    <t>M3 inizio 2013-ultima lettura</t>
  </si>
  <si>
    <t>Rif 3° sc. 2012</t>
  </si>
  <si>
    <t>Rif 1° sc. 2013</t>
  </si>
  <si>
    <t>Rif 2° sc. 2013</t>
  </si>
  <si>
    <t>Rif 2° 2012 e 2° 2013</t>
  </si>
  <si>
    <t>Se unica lettura 2012-2013</t>
  </si>
  <si>
    <t>GAS METANO 2012-13</t>
  </si>
  <si>
    <t>Totale 2012/2013</t>
  </si>
  <si>
    <t>Totale metri cubi  2012/13</t>
  </si>
  <si>
    <t>Totale metri cubi  anno 2013</t>
  </si>
  <si>
    <t>Importo vendita 2° sc. 2013</t>
  </si>
  <si>
    <t>Dal 31/07/2012 al 30/09/2012</t>
  </si>
  <si>
    <t>Dal 24/04/2012 al 30/07/2012</t>
  </si>
  <si>
    <t>?</t>
  </si>
  <si>
    <t>Dal 01/10/2012 al 30/11/2012</t>
  </si>
  <si>
    <t>Dal 24/04/2012 al 17/12/2012</t>
  </si>
  <si>
    <t>Dal 18/12/2012 al 28/2/2013</t>
  </si>
  <si>
    <t>Dal 01/03/2013 al 31/3/2013</t>
  </si>
  <si>
    <t>stim.</t>
  </si>
  <si>
    <t>Dal 01/04/2013 al 01/05/2013</t>
  </si>
  <si>
    <t>Dal 23/05/2013 al 30/09/2013</t>
  </si>
  <si>
    <t>GAS METANO 2013-14</t>
  </si>
  <si>
    <t>LIB</t>
  </si>
  <si>
    <t>Totale 2013/2014</t>
  </si>
  <si>
    <t>Totale metri cubi  2013/14</t>
  </si>
  <si>
    <t>Totale metri cubi  anno 2014</t>
  </si>
  <si>
    <t>M3 inizio 2014-ultima lettura</t>
  </si>
  <si>
    <t>Rif 3° sc. 2013</t>
  </si>
  <si>
    <t>Rif 1° sc. 2014</t>
  </si>
  <si>
    <t>Rif 2° sc. 2014</t>
  </si>
  <si>
    <t>Rif 2° 2013 e 2° 2014</t>
  </si>
  <si>
    <t>Se unica lettura 2013-2014</t>
  </si>
  <si>
    <t>Totale + IVA 22% ( 3 sc. )</t>
  </si>
  <si>
    <t>ott-dic13</t>
  </si>
  <si>
    <t>Dal 23/05/2013 al 15/10/2013</t>
  </si>
  <si>
    <t>Dal 15/10/2013 al 31/12/2013</t>
  </si>
  <si>
    <t>Dal 31/12/2013 al 28/02/2014</t>
  </si>
  <si>
    <t>Dal 16/12/2013 al 30/04/2014</t>
  </si>
  <si>
    <t>Spesa Prevista al 30.4.2015</t>
  </si>
  <si>
    <t>Totale 2014/2015</t>
  </si>
  <si>
    <t>Totale metri cubi  2014/15</t>
  </si>
  <si>
    <t>Totale metri cubi  anno 2015</t>
  </si>
  <si>
    <t>M3 inizio 2015-ultima lettura</t>
  </si>
  <si>
    <t>Rif 3° sc. 2014</t>
  </si>
  <si>
    <t>Rif 1° sc. 2015</t>
  </si>
  <si>
    <t>Rif 2° 2014 e 2° 2015</t>
  </si>
  <si>
    <t>Se unica lettura 2014-2015</t>
  </si>
  <si>
    <t>GAS METANO 2014-15</t>
  </si>
  <si>
    <t>Importo vendita 2° sc. 2014</t>
  </si>
  <si>
    <t>Importo vendita 2° sc. 2015</t>
  </si>
  <si>
    <t>Dal 30/04/2014 al 17/06/2014</t>
  </si>
  <si>
    <t>Dal 17/06/2014 al 01/10/2014</t>
  </si>
  <si>
    <t>presunta</t>
  </si>
  <si>
    <t>Dal 01/10/2014 al 01/12/2014</t>
  </si>
  <si>
    <t>Dal 17/06/2014/al 07/01/2015</t>
  </si>
  <si>
    <t>effettiva</t>
  </si>
  <si>
    <t>Dal 09/03/2015 al 24/04/2015</t>
  </si>
  <si>
    <t>Spesa Prevista al 30.4.2016</t>
  </si>
  <si>
    <t>18.30</t>
  </si>
  <si>
    <t>GAS METANO 2015-16</t>
  </si>
  <si>
    <t>Trasporto 1° sc.</t>
  </si>
  <si>
    <t>Trasporto 2° sc.</t>
  </si>
  <si>
    <t>Trasporto 3° sc.</t>
  </si>
  <si>
    <t>Materia prima 1° sc. + CCR</t>
  </si>
  <si>
    <t>Materia prima 2° sc. + CCR</t>
  </si>
  <si>
    <t>Materia prima 3° sc. + CCR</t>
  </si>
  <si>
    <t>Materia prima Gas 1° + CCR</t>
  </si>
  <si>
    <t>Materia prima Gas 2° + CCR</t>
  </si>
  <si>
    <t>Materia prima Gas 3° + CCR</t>
  </si>
  <si>
    <t>(QOA+GRAD+CPR+SD) 1° sc.</t>
  </si>
  <si>
    <t>(QOA+GRAD+CPR+SD) 2° sc.</t>
  </si>
  <si>
    <t>(QOA+GRAD+CPR+SD) 3° sc.</t>
  </si>
  <si>
    <t>Accisa fino a 480 M3/A -2 sc.</t>
  </si>
  <si>
    <t>Accisa oltre 1560 M3/A -3 sc.</t>
  </si>
  <si>
    <t>Accisa fino a 120 M3/A -1 sc.</t>
  </si>
  <si>
    <t>Totale metri cubi  2015/16</t>
  </si>
  <si>
    <t>M3 inizio 2016-ultima lettura</t>
  </si>
  <si>
    <t>Dal 01/09/2015 al 31/10/2015</t>
  </si>
  <si>
    <t>Totale 2015/2016</t>
  </si>
  <si>
    <t>Commercializz. (QVD) 1° sc.</t>
  </si>
  <si>
    <t>Commercializz. (QVD) 2° sc.</t>
  </si>
  <si>
    <t>Commercializz. (QVD) 3° sc.</t>
  </si>
  <si>
    <t>Accisa 1° sc.</t>
  </si>
  <si>
    <t>Accisa 2° sc.</t>
  </si>
  <si>
    <t>Accisa 3° sc.</t>
  </si>
  <si>
    <t>Totale metri cubi  anno 2016</t>
  </si>
  <si>
    <t>Rif 3° sc. 2015</t>
  </si>
  <si>
    <t>Rif 1° sc. 2016</t>
  </si>
  <si>
    <t>Rif 2° sc. 2015</t>
  </si>
  <si>
    <t>Rif 2° 2015 e 2° 2016</t>
  </si>
  <si>
    <t>Se unica lettura 2015-2016</t>
  </si>
  <si>
    <t>Quota fissa (62-63-64)</t>
  </si>
  <si>
    <t>Dal 25/06/2015/al 17/12/2015</t>
  </si>
  <si>
    <t>Dal 17/06/2015 al 01/10/2015</t>
  </si>
  <si>
    <t>Dal 29/02/2016/al 30/04/2016</t>
  </si>
  <si>
    <t>Dal 17/12/2016/al 29/02/2016</t>
  </si>
  <si>
    <t>Totale 2016/2017</t>
  </si>
  <si>
    <t>Totale metri cubi  2016/17</t>
  </si>
  <si>
    <t>M3 inizio 2017-ultima lettura</t>
  </si>
  <si>
    <t>Totale metri cubi  anno 2017</t>
  </si>
  <si>
    <t>SSTE</t>
  </si>
  <si>
    <t>Rif 3° sc. 2016</t>
  </si>
  <si>
    <t>Rif 1° sc. 2017</t>
  </si>
  <si>
    <t>Rif 2° sc. 2016</t>
  </si>
  <si>
    <t>Rif 2° 2016 e 2° 2017</t>
  </si>
  <si>
    <t>Se unica lettura 2016-2017</t>
  </si>
  <si>
    <t>GAS METANO 2016-17</t>
  </si>
  <si>
    <t>presunta (19445)</t>
  </si>
  <si>
    <t>Dal 30/04/2016 al 31/08/2016</t>
  </si>
  <si>
    <t>conguaglio (-14,66€)</t>
  </si>
  <si>
    <t>Dal 20/06/2016 al 28/10/2016</t>
  </si>
  <si>
    <t>conguaglio (-16,32€)</t>
  </si>
  <si>
    <t>Dal 28/10/2016 al 30/12/2016</t>
  </si>
  <si>
    <t>Dal 30/12/2016 al 28/02/2017</t>
  </si>
  <si>
    <t>Dal 30/12/2017 al 27/04/2017</t>
  </si>
  <si>
    <t>Dal 27/04/2017 al 20/06/2017</t>
  </si>
  <si>
    <t>Dal 20/06/2017 al 24/08/2017</t>
  </si>
  <si>
    <t>Totale metri cubi  2017/18</t>
  </si>
  <si>
    <t>Totale metri cubi  anno 2018</t>
  </si>
  <si>
    <t>Rif 3° sc. 2017</t>
  </si>
  <si>
    <t>Rif 1° sc. 2018</t>
  </si>
  <si>
    <t>Rif 2° sc. 2017</t>
  </si>
  <si>
    <t>Rif 2° 2017 e 2° 2018</t>
  </si>
  <si>
    <t>Se unica lettura 2017-2018</t>
  </si>
  <si>
    <t>GAS METANO 2017-18</t>
  </si>
  <si>
    <t>Dal 30/10/2017 al 19/12/2017</t>
  </si>
  <si>
    <t>Dal 19/12/2017 al 28/02/2018</t>
  </si>
  <si>
    <t>Dal 28/02/2017 al 01/05/2018</t>
  </si>
  <si>
    <t>stimata</t>
  </si>
  <si>
    <t>Totale 2018/2019</t>
  </si>
  <si>
    <t>Totale metri cubi  2018/19</t>
  </si>
  <si>
    <t>Totale metri cubi  anno 2019</t>
  </si>
  <si>
    <t>conguaglio (-38,75€)</t>
  </si>
  <si>
    <t>Dal 01/05/2018 al 01/07/2018</t>
  </si>
  <si>
    <t>Dal 01/07/2018 al 01/09/2018</t>
  </si>
  <si>
    <t>Dal 28/02/2018 al 23/10/2018</t>
  </si>
  <si>
    <t>M3 inizio 2018-ultima lettura</t>
  </si>
  <si>
    <t>M3 inizio 2019-ultima lettura</t>
  </si>
  <si>
    <t>GAS METANO 2018-19</t>
  </si>
  <si>
    <t>Consumi</t>
  </si>
  <si>
    <t>Totale</t>
  </si>
  <si>
    <t>Dal 23/10/2018 al 19/12/2018</t>
  </si>
  <si>
    <t>Dal 21/02/2019 al 01/05/2019</t>
  </si>
  <si>
    <t>Dal 19/12/2018 al 21/02/2019</t>
  </si>
  <si>
    <t>Spesa Prevista</t>
  </si>
  <si>
    <t>Dal 01/05/2019 al 01/07/2019</t>
  </si>
  <si>
    <t>Dal 01/07/2019 al 01/09/2019</t>
  </si>
  <si>
    <t>M3 inizio 2020-ultima lettura</t>
  </si>
  <si>
    <t>Totale metri cubi  anno 2020</t>
  </si>
  <si>
    <t>Dal 01/09/2019 al 01/11/2019</t>
  </si>
  <si>
    <t>conguaglio (-46,16)</t>
  </si>
  <si>
    <t>Totale metri cubi  2019/20</t>
  </si>
  <si>
    <t>Totale metri cubi  2020/21</t>
  </si>
  <si>
    <t>Totale metri cubi  anno 2021</t>
  </si>
  <si>
    <t>M3 inizio 2021-ultima lettura</t>
  </si>
  <si>
    <t>Rif 1° sc. 2021</t>
  </si>
  <si>
    <t>Rif 3° sc. 2020</t>
  </si>
  <si>
    <t>Rif 2° sc. 2020</t>
  </si>
  <si>
    <t>Se unica lettura 2020-2021</t>
  </si>
  <si>
    <t>GAS METANO 2020-21</t>
  </si>
  <si>
    <t>SST</t>
  </si>
  <si>
    <t>Dal 01/09/2020 al 01/11/2020</t>
  </si>
  <si>
    <t>Dal 01/07/2020 al 01/09/2020</t>
  </si>
  <si>
    <t>Dal 01/05/2020 al 01/07/2020</t>
  </si>
  <si>
    <t>Totale 2020/2021</t>
  </si>
  <si>
    <t>Dal 01/03/2021 al 01/05/2021</t>
  </si>
  <si>
    <t>Dal 01/01/2021 al 01/03/2021</t>
  </si>
  <si>
    <t>Dal 01/05/2021 al 01/07/2021</t>
  </si>
  <si>
    <t>Dal 01/07/2021 al 01/09/2021</t>
  </si>
  <si>
    <t>Dal 01/09/2021 al 01/1?/2021</t>
  </si>
  <si>
    <t>Totale 2021</t>
  </si>
  <si>
    <t>Totale metri cubi  2021/22</t>
  </si>
  <si>
    <t>Totale metri cubi  anno 2022</t>
  </si>
  <si>
    <t>M3 inizio 2022-ultima lettura</t>
  </si>
  <si>
    <t>Rif 3° sc. 2021</t>
  </si>
  <si>
    <t>Rif 1° sc. 2022</t>
  </si>
  <si>
    <t>Rif 2° sc. 2021</t>
  </si>
  <si>
    <t>GAS METANO 2021-22</t>
  </si>
  <si>
    <t>Dal 01/01/2022 al 01/03/2022</t>
  </si>
  <si>
    <t>Dal 01/03/2022 al 01/05/2022</t>
  </si>
  <si>
    <t>Dal 01/05/2022 al 01/07/2022</t>
  </si>
  <si>
    <t>Dal 01/07/2022 al 01/09/2022</t>
  </si>
  <si>
    <t>Dal 01/09/2022 al 01/1?/2022</t>
  </si>
  <si>
    <t>Totale metri cubi  2022/23</t>
  </si>
  <si>
    <t>Totale metri cubi  anno 2023</t>
  </si>
  <si>
    <t>M3 inizio 2023-ultima lettura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</si>
</sst>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/m/yyyy"/>
    <numFmt numFmtId="165" formatCode="&quot;€&quot;\ #,##0.00"/>
    <numFmt numFmtId="166" formatCode="0.00000"/>
    <numFmt numFmtId="167" formatCode="d/m"/>
    <numFmt numFmtId="168" formatCode="dd/mm/yy;@"/>
    <numFmt numFmtId="169" formatCode="#,##0.000000"/>
  </numFmts>
  <fonts count="1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sz val="10"/>
      <color indexed="12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sz val="9"/>
      <name val="Tahoma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6337778862885"/>
        <bgColor indexed="64"/>
      </patternFill>
    </fill>
  </fills>
  <borders count="25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0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0" fontId="2" fillId="4" borderId="1" xfId="0" applyNumberFormat="1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20" fontId="2" fillId="2" borderId="2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20" fontId="2" fillId="3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right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20" fontId="0" fillId="0" borderId="0" xfId="0" applyNumberFormat="1" applyAlignment="1"/>
    <xf numFmtId="20" fontId="2" fillId="3" borderId="3" xfId="0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167" fontId="2" fillId="2" borderId="8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167" fontId="0" fillId="0" borderId="0" xfId="0" applyNumberFormat="1" applyAlignment="1"/>
    <xf numFmtId="167" fontId="2" fillId="3" borderId="10" xfId="0" applyNumberFormat="1" applyFont="1" applyFill="1" applyBorder="1" applyAlignment="1">
      <alignment horizontal="center"/>
    </xf>
    <xf numFmtId="167" fontId="2" fillId="3" borderId="11" xfId="0" applyNumberFormat="1" applyFont="1" applyFill="1" applyBorder="1" applyAlignment="1">
      <alignment horizontal="center"/>
    </xf>
    <xf numFmtId="167" fontId="2" fillId="4" borderId="10" xfId="0" applyNumberFormat="1" applyFont="1" applyFill="1" applyBorder="1" applyAlignment="1">
      <alignment horizontal="center"/>
    </xf>
    <xf numFmtId="167" fontId="2" fillId="4" borderId="11" xfId="0" applyNumberFormat="1" applyFont="1" applyFill="1" applyBorder="1" applyAlignment="1">
      <alignment horizontal="center"/>
    </xf>
    <xf numFmtId="167" fontId="2" fillId="3" borderId="12" xfId="0" applyNumberFormat="1" applyFont="1" applyFill="1" applyBorder="1" applyAlignment="1">
      <alignment horizontal="center"/>
    </xf>
    <xf numFmtId="167" fontId="2" fillId="3" borderId="1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7" fontId="2" fillId="4" borderId="12" xfId="0" applyNumberFormat="1" applyFont="1" applyFill="1" applyBorder="1" applyAlignment="1">
      <alignment horizontal="center"/>
    </xf>
    <xf numFmtId="167" fontId="2" fillId="4" borderId="1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0" fontId="2" fillId="3" borderId="14" xfId="0" applyNumberFormat="1" applyFont="1" applyFill="1" applyBorder="1" applyAlignment="1">
      <alignment horizontal="center"/>
    </xf>
    <xf numFmtId="20" fontId="2" fillId="3" borderId="15" xfId="0" applyNumberFormat="1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4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1" fillId="0" borderId="0" xfId="0" applyFont="1" applyAlignment="1"/>
    <xf numFmtId="0" fontId="5" fillId="3" borderId="14" xfId="0" applyFont="1" applyFill="1" applyBorder="1" applyAlignment="1">
      <alignment horizontal="center"/>
    </xf>
    <xf numFmtId="0" fontId="6" fillId="0" borderId="0" xfId="0" applyFont="1" applyAlignment="1"/>
    <xf numFmtId="0" fontId="2" fillId="3" borderId="14" xfId="0" applyFont="1" applyFill="1" applyBorder="1" applyAlignment="1">
      <alignment horizontal="center"/>
    </xf>
    <xf numFmtId="1" fontId="2" fillId="2" borderId="5" xfId="0" applyNumberFormat="1" applyFont="1" applyFill="1" applyBorder="1" applyAlignment="1"/>
    <xf numFmtId="20" fontId="2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1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2" borderId="16" xfId="0" applyFont="1" applyFill="1" applyBorder="1" applyAlignment="1"/>
    <xf numFmtId="167" fontId="2" fillId="3" borderId="17" xfId="0" applyNumberFormat="1" applyFont="1" applyFill="1" applyBorder="1" applyAlignment="1">
      <alignment horizontal="center"/>
    </xf>
    <xf numFmtId="167" fontId="2" fillId="3" borderId="18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7" fontId="2" fillId="2" borderId="7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21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3" borderId="21" xfId="0" applyFont="1" applyFill="1" applyBorder="1" applyAlignment="1"/>
    <xf numFmtId="0" fontId="2" fillId="4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1" fontId="0" fillId="0" borderId="0" xfId="0" applyNumberFormat="1"/>
    <xf numFmtId="14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167" fontId="5" fillId="3" borderId="10" xfId="0" applyNumberFormat="1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/>
    </xf>
    <xf numFmtId="2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20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2" fontId="8" fillId="0" borderId="0" xfId="0" applyNumberFormat="1" applyFont="1"/>
    <xf numFmtId="1" fontId="9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20" fontId="2" fillId="4" borderId="2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/>
    </xf>
  </cellXfs>
  <cellStyles count="1">
    <cellStyle name="Normale" xfId="0" builtinId="0"/>
  </cellStyles>
  <dxfs count="129">
    <dxf>
      <font>
        <condense val="0"/>
        <extend val="0"/>
        <color indexed="41"/>
      </font>
    </dxf>
    <dxf>
      <font>
        <condense val="0"/>
        <extend val="0"/>
        <color indexed="27"/>
      </font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C0C0C0"/>
      </font>
    </dxf>
    <dxf>
      <font>
        <color rgb="FFCCFFFF"/>
      </font>
    </dxf>
    <dxf>
      <font>
        <color rgb="FFFFFF99"/>
      </font>
    </dxf>
    <dxf>
      <font>
        <color theme="7" tint="0.59996337778862885"/>
      </font>
    </dxf>
    <dxf>
      <font>
        <color rgb="FFC0C0C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34" workbookViewId="0">
      <selection activeCell="K44" sqref="K44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5703125" bestFit="1" customWidth="1"/>
    <col min="15" max="16" width="6.7109375" bestFit="1" customWidth="1"/>
  </cols>
  <sheetData>
    <row r="1" spans="1:18" ht="13.5" thickTop="1" x14ac:dyDescent="0.2">
      <c r="A1" s="1" t="s">
        <v>24</v>
      </c>
      <c r="B1" s="55">
        <f ca="1">IF(D51="",D52,D51+D52)</f>
        <v>104.51530896666762</v>
      </c>
      <c r="C1" s="3"/>
      <c r="D1" s="3"/>
      <c r="E1" s="37" t="s">
        <v>19</v>
      </c>
      <c r="F1" s="19" t="s">
        <v>10</v>
      </c>
      <c r="G1" s="19" t="s">
        <v>9</v>
      </c>
      <c r="H1" s="74" t="s">
        <v>11</v>
      </c>
      <c r="I1" s="45" t="s">
        <v>20</v>
      </c>
      <c r="J1" s="35" t="s">
        <v>10</v>
      </c>
      <c r="K1" s="20" t="s">
        <v>9</v>
      </c>
      <c r="L1" s="50" t="s">
        <v>11</v>
      </c>
      <c r="M1" s="48" t="s">
        <v>12</v>
      </c>
      <c r="N1" s="21" t="s">
        <v>10</v>
      </c>
      <c r="O1" s="21" t="s">
        <v>9</v>
      </c>
      <c r="P1" s="22" t="s">
        <v>11</v>
      </c>
      <c r="R1" s="122" t="s">
        <v>371</v>
      </c>
    </row>
    <row r="2" spans="1:18" x14ac:dyDescent="0.2">
      <c r="A2" s="1" t="s">
        <v>376</v>
      </c>
      <c r="B2" s="26"/>
      <c r="C2" s="3"/>
      <c r="D2" s="3"/>
      <c r="E2" s="38"/>
      <c r="F2" s="8"/>
      <c r="G2" s="8"/>
      <c r="H2" s="75"/>
      <c r="I2" s="46"/>
      <c r="J2" s="11"/>
      <c r="K2" s="10"/>
      <c r="L2" s="30"/>
      <c r="M2" s="49"/>
      <c r="N2" s="12"/>
      <c r="O2" s="12"/>
      <c r="P2" s="23"/>
      <c r="R2" s="72"/>
    </row>
    <row r="3" spans="1:18" x14ac:dyDescent="0.2">
      <c r="A3" s="1"/>
      <c r="B3" s="2"/>
      <c r="C3" s="3"/>
      <c r="D3" s="3"/>
      <c r="E3" s="38">
        <v>39387</v>
      </c>
      <c r="F3" s="9">
        <v>0.77083333333333337</v>
      </c>
      <c r="G3" s="8">
        <v>20608</v>
      </c>
      <c r="H3" s="76">
        <f>IF(G3-B16&lt;0,0,0)</f>
        <v>0</v>
      </c>
      <c r="I3" s="46">
        <v>38687</v>
      </c>
      <c r="J3" s="11">
        <v>0.77083333333333337</v>
      </c>
      <c r="K3" s="10">
        <v>20624</v>
      </c>
      <c r="L3" s="30">
        <f>IF(AND(H34&lt;&gt;"",K3&lt;&gt;""),K3-K2,K3-MAX(G3:G34))</f>
        <v>1</v>
      </c>
      <c r="M3" s="43">
        <v>38353</v>
      </c>
      <c r="N3" s="13" t="s">
        <v>33</v>
      </c>
      <c r="O3" s="127">
        <v>20664</v>
      </c>
      <c r="P3" s="23">
        <f>IF(AND(L34&lt;&gt;"",O3&lt;&gt;""),O3-O2,O3-MAX(K3:K33))</f>
        <v>0</v>
      </c>
      <c r="R3" s="123" t="s">
        <v>19</v>
      </c>
    </row>
    <row r="4" spans="1:18" x14ac:dyDescent="0.2">
      <c r="A4" s="1"/>
      <c r="B4" s="26"/>
      <c r="C4" s="129"/>
      <c r="D4" s="130"/>
      <c r="E4" s="38">
        <f>E3+1</f>
        <v>39388</v>
      </c>
      <c r="F4" s="9">
        <v>0.77083333333333337</v>
      </c>
      <c r="G4" s="8">
        <v>20612</v>
      </c>
      <c r="H4" s="75">
        <f t="shared" ref="H4:H33" si="0">IF(AND(H3&lt;&gt;"",G4&lt;&gt;""),G4-G3,"")</f>
        <v>4</v>
      </c>
      <c r="I4" s="41">
        <f>I3+1</f>
        <v>38688</v>
      </c>
      <c r="J4" s="11">
        <v>0.77083333333333337</v>
      </c>
      <c r="K4" s="10">
        <v>20625</v>
      </c>
      <c r="L4" s="30">
        <f>IF(AND(L3&lt;&gt;"",K4&lt;&gt;""),K4-K3,"")</f>
        <v>1</v>
      </c>
      <c r="M4" s="43">
        <f>M3+1</f>
        <v>38354</v>
      </c>
      <c r="N4" s="13" t="s">
        <v>290</v>
      </c>
      <c r="O4" s="127">
        <v>20664</v>
      </c>
      <c r="P4" s="23">
        <f>IF(AND(P3&lt;&gt;"",O4&lt;&gt;""),O4-O3,"")</f>
        <v>0</v>
      </c>
      <c r="R4" s="124">
        <f>SUM(H3:H32)</f>
        <v>15</v>
      </c>
    </row>
    <row r="5" spans="1:18" x14ac:dyDescent="0.2">
      <c r="A5" s="1" t="s">
        <v>410</v>
      </c>
      <c r="B5" s="26">
        <v>0</v>
      </c>
      <c r="C5" s="131" t="s">
        <v>360</v>
      </c>
      <c r="D5" s="132"/>
      <c r="E5" s="38">
        <f t="shared" ref="E5:E32" si="1">E4+1</f>
        <v>39389</v>
      </c>
      <c r="F5" s="9">
        <v>0.77083333333333337</v>
      </c>
      <c r="G5" s="8">
        <v>20612</v>
      </c>
      <c r="H5" s="75">
        <f t="shared" si="0"/>
        <v>0</v>
      </c>
      <c r="I5" s="41">
        <f t="shared" ref="I5:I28" si="2">I4+1</f>
        <v>38689</v>
      </c>
      <c r="J5" s="11" t="s">
        <v>25</v>
      </c>
      <c r="K5" s="10">
        <v>20625</v>
      </c>
      <c r="L5" s="30">
        <f>IF(AND(L4&lt;&gt;"",K5&lt;&gt;""),K5-K4,"")</f>
        <v>0</v>
      </c>
      <c r="M5" s="43">
        <f t="shared" ref="M5:M28" si="3">M4+1</f>
        <v>38355</v>
      </c>
      <c r="N5" s="13" t="s">
        <v>290</v>
      </c>
      <c r="O5" s="12">
        <v>20667</v>
      </c>
      <c r="P5" s="23">
        <f t="shared" ref="P5:P34" si="4">IF(AND(P4&lt;&gt;"",O5&lt;&gt;""),O5-O4,"")</f>
        <v>3</v>
      </c>
      <c r="R5" s="123" t="s">
        <v>20</v>
      </c>
    </row>
    <row r="6" spans="1:18" x14ac:dyDescent="0.2">
      <c r="A6" s="1" t="s">
        <v>411</v>
      </c>
      <c r="B6" s="26">
        <v>0</v>
      </c>
      <c r="C6" s="131" t="s">
        <v>360</v>
      </c>
      <c r="D6" s="132"/>
      <c r="E6" s="38">
        <f t="shared" si="1"/>
        <v>39390</v>
      </c>
      <c r="F6" s="9">
        <v>0.77083333333333337</v>
      </c>
      <c r="G6" s="8">
        <v>20612</v>
      </c>
      <c r="H6" s="75">
        <f t="shared" si="0"/>
        <v>0</v>
      </c>
      <c r="I6" s="41">
        <f t="shared" si="2"/>
        <v>38690</v>
      </c>
      <c r="J6" s="11" t="s">
        <v>26</v>
      </c>
      <c r="K6" s="10">
        <v>20625</v>
      </c>
      <c r="L6" s="30">
        <f>IF(AND(L5&lt;&gt;"",K6&lt;&gt;""),K6-K5,"")</f>
        <v>0</v>
      </c>
      <c r="M6" s="43">
        <f t="shared" si="3"/>
        <v>38356</v>
      </c>
      <c r="N6" s="13" t="s">
        <v>290</v>
      </c>
      <c r="O6" s="12">
        <v>20669</v>
      </c>
      <c r="P6" s="23">
        <f t="shared" si="4"/>
        <v>2</v>
      </c>
      <c r="R6" s="72">
        <f>SUM(L3:L33)</f>
        <v>41</v>
      </c>
    </row>
    <row r="7" spans="1:18" x14ac:dyDescent="0.2">
      <c r="A7" s="1" t="s">
        <v>412</v>
      </c>
      <c r="B7" s="26">
        <v>0</v>
      </c>
      <c r="C7" s="133" t="s">
        <v>360</v>
      </c>
      <c r="D7" s="133"/>
      <c r="E7" s="38">
        <f t="shared" si="1"/>
        <v>39391</v>
      </c>
      <c r="F7" s="9" t="s">
        <v>25</v>
      </c>
      <c r="G7" s="8">
        <v>20612</v>
      </c>
      <c r="H7" s="75">
        <f t="shared" si="0"/>
        <v>0</v>
      </c>
      <c r="I7" s="41">
        <f t="shared" si="2"/>
        <v>38691</v>
      </c>
      <c r="J7" s="11">
        <v>0.77083333333333337</v>
      </c>
      <c r="K7" s="10">
        <v>20625</v>
      </c>
      <c r="L7" s="30">
        <f>IF(AND(L6&lt;&gt;"",K7&lt;&gt;""),K7-K6,"")</f>
        <v>0</v>
      </c>
      <c r="M7" s="43">
        <f t="shared" si="3"/>
        <v>38357</v>
      </c>
      <c r="N7" s="13" t="s">
        <v>290</v>
      </c>
      <c r="O7" s="12">
        <v>20671</v>
      </c>
      <c r="P7" s="23">
        <f t="shared" si="4"/>
        <v>2</v>
      </c>
      <c r="R7" s="123" t="s">
        <v>12</v>
      </c>
    </row>
    <row r="8" spans="1:18" x14ac:dyDescent="0.2">
      <c r="A8" s="1" t="s">
        <v>413</v>
      </c>
      <c r="B8" s="26">
        <v>0</v>
      </c>
      <c r="C8" s="129" t="s">
        <v>360</v>
      </c>
      <c r="D8" s="130"/>
      <c r="E8" s="38">
        <f t="shared" si="1"/>
        <v>39392</v>
      </c>
      <c r="F8" s="9" t="s">
        <v>26</v>
      </c>
      <c r="G8" s="8">
        <v>20612</v>
      </c>
      <c r="H8" s="75">
        <f t="shared" si="0"/>
        <v>0</v>
      </c>
      <c r="I8" s="41">
        <f t="shared" si="2"/>
        <v>38692</v>
      </c>
      <c r="J8" s="11">
        <v>0.77083333333333337</v>
      </c>
      <c r="K8" s="10">
        <v>20628</v>
      </c>
      <c r="L8" s="30">
        <f>IF(AND(L7&lt;&gt;"",K8&lt;&gt;""),K8-K7,"")</f>
        <v>3</v>
      </c>
      <c r="M8" s="43">
        <f t="shared" si="3"/>
        <v>38358</v>
      </c>
      <c r="N8" s="13" t="s">
        <v>117</v>
      </c>
      <c r="O8" s="12">
        <v>20671</v>
      </c>
      <c r="P8" s="23">
        <f t="shared" si="4"/>
        <v>0</v>
      </c>
      <c r="R8" s="72">
        <f>SUM(P3:P33)</f>
        <v>44</v>
      </c>
    </row>
    <row r="9" spans="1:18" x14ac:dyDescent="0.2">
      <c r="A9" s="1" t="s">
        <v>414</v>
      </c>
      <c r="B9" s="26">
        <v>0</v>
      </c>
      <c r="C9" s="128"/>
      <c r="D9" s="128"/>
      <c r="E9" s="38">
        <f t="shared" si="1"/>
        <v>39393</v>
      </c>
      <c r="F9" s="9">
        <v>0.77083333333333337</v>
      </c>
      <c r="G9" s="8">
        <v>20612</v>
      </c>
      <c r="H9" s="75">
        <f t="shared" si="0"/>
        <v>0</v>
      </c>
      <c r="I9" s="41">
        <f t="shared" si="2"/>
        <v>38693</v>
      </c>
      <c r="J9" s="11">
        <v>0.77083333333333337</v>
      </c>
      <c r="K9" s="10">
        <v>20630</v>
      </c>
      <c r="L9" s="30">
        <f t="shared" ref="L9:L34" si="5">IF(AND(L8&lt;&gt;"",K9&lt;&gt;""),K9-K8,"")</f>
        <v>2</v>
      </c>
      <c r="M9" s="43">
        <f t="shared" si="3"/>
        <v>38359</v>
      </c>
      <c r="N9" s="13" t="s">
        <v>25</v>
      </c>
      <c r="O9" s="12">
        <v>20671</v>
      </c>
      <c r="P9" s="23">
        <f t="shared" si="4"/>
        <v>0</v>
      </c>
      <c r="R9" s="123" t="s">
        <v>13</v>
      </c>
    </row>
    <row r="10" spans="1:18" x14ac:dyDescent="0.2">
      <c r="A10" s="63" t="s">
        <v>402</v>
      </c>
      <c r="B10" s="64">
        <f>SUM(B4:B9)</f>
        <v>0</v>
      </c>
      <c r="C10" s="3"/>
      <c r="D10" s="3"/>
      <c r="E10" s="38">
        <f t="shared" si="1"/>
        <v>39394</v>
      </c>
      <c r="F10" s="9">
        <v>0.77083333333333337</v>
      </c>
      <c r="G10" s="8">
        <v>20612</v>
      </c>
      <c r="H10" s="75">
        <f t="shared" si="0"/>
        <v>0</v>
      </c>
      <c r="I10" s="41">
        <f t="shared" si="2"/>
        <v>38694</v>
      </c>
      <c r="J10" s="11" t="s">
        <v>67</v>
      </c>
      <c r="K10" s="10">
        <v>20630</v>
      </c>
      <c r="L10" s="30">
        <f t="shared" si="5"/>
        <v>0</v>
      </c>
      <c r="M10" s="43">
        <f t="shared" si="3"/>
        <v>38360</v>
      </c>
      <c r="N10" s="13" t="s">
        <v>26</v>
      </c>
      <c r="O10" s="12">
        <v>20671</v>
      </c>
      <c r="P10" s="23">
        <f t="shared" si="4"/>
        <v>0</v>
      </c>
      <c r="R10" s="72">
        <f>SUM(H37:H65)</f>
        <v>26</v>
      </c>
    </row>
    <row r="11" spans="1:18" x14ac:dyDescent="0.2">
      <c r="E11" s="38">
        <f t="shared" si="1"/>
        <v>39395</v>
      </c>
      <c r="F11" s="9">
        <v>0.77083333333333337</v>
      </c>
      <c r="G11" s="8">
        <v>20612</v>
      </c>
      <c r="H11" s="75">
        <f t="shared" si="0"/>
        <v>0</v>
      </c>
      <c r="I11" s="41">
        <f t="shared" si="2"/>
        <v>38695</v>
      </c>
      <c r="J11" s="11">
        <v>0.77083333333333337</v>
      </c>
      <c r="K11" s="10">
        <v>20632</v>
      </c>
      <c r="L11" s="30">
        <f t="shared" si="5"/>
        <v>2</v>
      </c>
      <c r="M11" s="43">
        <f t="shared" si="3"/>
        <v>38361</v>
      </c>
      <c r="N11" s="13" t="s">
        <v>290</v>
      </c>
      <c r="O11" s="12">
        <v>20671</v>
      </c>
      <c r="P11" s="23">
        <f t="shared" si="4"/>
        <v>0</v>
      </c>
      <c r="R11" s="123" t="s">
        <v>14</v>
      </c>
    </row>
    <row r="12" spans="1:18" x14ac:dyDescent="0.2">
      <c r="A12" s="1" t="s">
        <v>415</v>
      </c>
      <c r="B12" s="27">
        <f>(MAX(G2:G32,K3:K33,O3:O33,G37:G64,K37:K67,O37:O66)-MIN(G3,G34))</f>
        <v>134</v>
      </c>
      <c r="C12" s="3"/>
      <c r="D12" s="3"/>
      <c r="E12" s="38">
        <f t="shared" si="1"/>
        <v>39396</v>
      </c>
      <c r="F12" s="9">
        <v>0.77083333333333337</v>
      </c>
      <c r="G12" s="8">
        <v>20612</v>
      </c>
      <c r="H12" s="75">
        <f t="shared" si="0"/>
        <v>0</v>
      </c>
      <c r="I12" s="41">
        <f t="shared" si="2"/>
        <v>38696</v>
      </c>
      <c r="J12" s="11" t="s">
        <v>25</v>
      </c>
      <c r="K12" s="10">
        <v>20632</v>
      </c>
      <c r="L12" s="30">
        <f t="shared" si="5"/>
        <v>0</v>
      </c>
      <c r="M12" s="43">
        <f t="shared" si="3"/>
        <v>38362</v>
      </c>
      <c r="N12" s="13" t="s">
        <v>290</v>
      </c>
      <c r="O12" s="12">
        <v>20673</v>
      </c>
      <c r="P12" s="23">
        <f>IF(AND(P11&lt;&gt;"",O12&lt;&gt;""),O12-O11,"")</f>
        <v>2</v>
      </c>
      <c r="R12" s="72">
        <f>IF(H64="",0,SUM(L37:L67))</f>
        <v>8</v>
      </c>
    </row>
    <row r="13" spans="1:18" x14ac:dyDescent="0.2">
      <c r="A13" s="1" t="s">
        <v>404</v>
      </c>
      <c r="B13" s="2">
        <f>(MAX(G3:G32,K3:K33)-'2122'!O4)*B68</f>
        <v>140.94202200000001</v>
      </c>
      <c r="C13" s="118" t="s">
        <v>205</v>
      </c>
      <c r="D13" s="119"/>
      <c r="E13" s="38">
        <f t="shared" si="1"/>
        <v>39397</v>
      </c>
      <c r="F13" s="9">
        <v>0.77083333333333337</v>
      </c>
      <c r="G13" s="8">
        <v>20612</v>
      </c>
      <c r="H13" s="75">
        <f t="shared" si="0"/>
        <v>0</v>
      </c>
      <c r="I13" s="41">
        <f t="shared" si="2"/>
        <v>38697</v>
      </c>
      <c r="J13" s="11" t="s">
        <v>26</v>
      </c>
      <c r="K13" s="10">
        <v>20632</v>
      </c>
      <c r="L13" s="30">
        <f t="shared" si="5"/>
        <v>0</v>
      </c>
      <c r="M13" s="43">
        <f t="shared" si="3"/>
        <v>38363</v>
      </c>
      <c r="N13" s="13" t="s">
        <v>290</v>
      </c>
      <c r="O13" s="12">
        <v>20675</v>
      </c>
      <c r="P13" s="23">
        <f t="shared" si="4"/>
        <v>2</v>
      </c>
      <c r="R13" s="123" t="s">
        <v>21</v>
      </c>
    </row>
    <row r="14" spans="1:18" x14ac:dyDescent="0.2">
      <c r="A14" s="1" t="s">
        <v>416</v>
      </c>
      <c r="B14" s="2">
        <f>IF(O3="",0,((MAX(O3:O33,G37:G67,K37:K67,O37:O67))-O3)*B68)</f>
        <v>79.66288200000001</v>
      </c>
      <c r="C14" s="3"/>
      <c r="D14" s="3"/>
      <c r="E14" s="38">
        <f t="shared" si="1"/>
        <v>39398</v>
      </c>
      <c r="F14" s="9" t="s">
        <v>25</v>
      </c>
      <c r="G14" s="8">
        <v>20612</v>
      </c>
      <c r="H14" s="75">
        <f t="shared" si="0"/>
        <v>0</v>
      </c>
      <c r="I14" s="41">
        <f t="shared" si="2"/>
        <v>38698</v>
      </c>
      <c r="J14" s="11">
        <v>0.77083333333333337</v>
      </c>
      <c r="K14" s="10">
        <v>20632</v>
      </c>
      <c r="L14" s="30">
        <f t="shared" si="5"/>
        <v>0</v>
      </c>
      <c r="M14" s="43">
        <f t="shared" si="3"/>
        <v>38364</v>
      </c>
      <c r="N14" s="13" t="s">
        <v>290</v>
      </c>
      <c r="O14" s="12">
        <v>20677</v>
      </c>
      <c r="P14" s="23">
        <f t="shared" si="4"/>
        <v>2</v>
      </c>
      <c r="R14" s="72">
        <f>IF(H66="",0,SUM(L39:L69))</f>
        <v>0</v>
      </c>
    </row>
    <row r="15" spans="1:18" ht="13.5" thickBot="1" x14ac:dyDescent="0.25">
      <c r="C15" s="3"/>
      <c r="D15" s="3"/>
      <c r="E15" s="38">
        <f t="shared" si="1"/>
        <v>39399</v>
      </c>
      <c r="F15" s="9" t="s">
        <v>26</v>
      </c>
      <c r="G15" s="8">
        <v>20612</v>
      </c>
      <c r="H15" s="75">
        <f t="shared" si="0"/>
        <v>0</v>
      </c>
      <c r="I15" s="41">
        <f t="shared" si="2"/>
        <v>38699</v>
      </c>
      <c r="J15" s="11">
        <v>0.77083333333333337</v>
      </c>
      <c r="K15" s="10">
        <v>20637</v>
      </c>
      <c r="L15" s="30">
        <f t="shared" si="5"/>
        <v>5</v>
      </c>
      <c r="M15" s="43">
        <f t="shared" si="3"/>
        <v>38365</v>
      </c>
      <c r="N15" s="13" t="s">
        <v>290</v>
      </c>
      <c r="O15" s="12">
        <v>20679</v>
      </c>
      <c r="P15" s="23">
        <f t="shared" si="4"/>
        <v>2</v>
      </c>
      <c r="R15" s="72"/>
    </row>
    <row r="16" spans="1:18" ht="14.25" thickTop="1" thickBot="1" x14ac:dyDescent="0.25">
      <c r="A16" s="1" t="s">
        <v>58</v>
      </c>
      <c r="B16" s="2">
        <v>20608</v>
      </c>
      <c r="C16" s="125" t="s">
        <v>287</v>
      </c>
      <c r="D16" s="105">
        <v>44881</v>
      </c>
      <c r="E16" s="38">
        <f t="shared" si="1"/>
        <v>39400</v>
      </c>
      <c r="F16" s="9">
        <v>0.77083333333333337</v>
      </c>
      <c r="G16" s="8">
        <v>20612</v>
      </c>
      <c r="H16" s="75">
        <f t="shared" si="0"/>
        <v>0</v>
      </c>
      <c r="I16" s="41">
        <f t="shared" si="2"/>
        <v>38700</v>
      </c>
      <c r="J16" s="11">
        <v>0.77083333333333337</v>
      </c>
      <c r="K16" s="10">
        <v>20639</v>
      </c>
      <c r="L16" s="30">
        <f t="shared" si="5"/>
        <v>2</v>
      </c>
      <c r="M16" s="43">
        <f t="shared" si="3"/>
        <v>38366</v>
      </c>
      <c r="N16" s="13" t="s">
        <v>25</v>
      </c>
      <c r="O16" s="12">
        <v>20679</v>
      </c>
      <c r="P16" s="23">
        <f t="shared" si="4"/>
        <v>0</v>
      </c>
      <c r="R16" s="123" t="s">
        <v>372</v>
      </c>
    </row>
    <row r="17" spans="1:18" ht="13.5" thickTop="1" x14ac:dyDescent="0.2">
      <c r="A17" s="1" t="s">
        <v>405</v>
      </c>
      <c r="B17" s="2">
        <f>(B16-('2122'!O3))*B68</f>
        <v>83.748158000000004</v>
      </c>
      <c r="C17" s="118"/>
      <c r="D17" s="118"/>
      <c r="E17" s="38">
        <f t="shared" si="1"/>
        <v>39401</v>
      </c>
      <c r="F17" s="9">
        <v>0.77083333333333337</v>
      </c>
      <c r="G17" s="8">
        <v>20612</v>
      </c>
      <c r="H17" s="75">
        <f t="shared" si="0"/>
        <v>0</v>
      </c>
      <c r="I17" s="41">
        <f t="shared" si="2"/>
        <v>38701</v>
      </c>
      <c r="J17" s="11">
        <v>0.77083333333333337</v>
      </c>
      <c r="K17" s="10">
        <v>20642</v>
      </c>
      <c r="L17" s="30">
        <f t="shared" si="5"/>
        <v>3</v>
      </c>
      <c r="M17" s="43">
        <f t="shared" si="3"/>
        <v>38367</v>
      </c>
      <c r="N17" s="13" t="s">
        <v>26</v>
      </c>
      <c r="O17" s="12">
        <v>20679</v>
      </c>
      <c r="P17" s="23">
        <f t="shared" si="4"/>
        <v>0</v>
      </c>
      <c r="R17" s="124">
        <f>R4+R6+R8+R10+R12+R14</f>
        <v>134</v>
      </c>
    </row>
    <row r="18" spans="1:18" x14ac:dyDescent="0.2">
      <c r="A18" s="1" t="s">
        <v>417</v>
      </c>
      <c r="B18" s="2">
        <f>IF(OR(O3&gt;B16,O3=""),0,B16-K33)</f>
        <v>0</v>
      </c>
      <c r="C18" s="3"/>
      <c r="D18" s="3"/>
      <c r="E18" s="38">
        <f t="shared" si="1"/>
        <v>39402</v>
      </c>
      <c r="F18" s="9">
        <v>0.77083333333333337</v>
      </c>
      <c r="G18" s="8">
        <v>20612</v>
      </c>
      <c r="H18" s="75">
        <f t="shared" si="0"/>
        <v>0</v>
      </c>
      <c r="I18" s="41">
        <f t="shared" si="2"/>
        <v>38702</v>
      </c>
      <c r="J18" s="11">
        <v>0.77083333333333337</v>
      </c>
      <c r="K18" s="10">
        <v>20644</v>
      </c>
      <c r="L18" s="30">
        <f t="shared" si="5"/>
        <v>2</v>
      </c>
      <c r="M18" s="43">
        <f t="shared" si="3"/>
        <v>38368</v>
      </c>
      <c r="N18" s="13" t="s">
        <v>290</v>
      </c>
      <c r="O18" s="12">
        <v>20679</v>
      </c>
      <c r="P18" s="23">
        <f t="shared" si="4"/>
        <v>0</v>
      </c>
      <c r="R18" s="72"/>
    </row>
    <row r="19" spans="1:18" x14ac:dyDescent="0.2">
      <c r="E19" s="38">
        <f t="shared" si="1"/>
        <v>39403</v>
      </c>
      <c r="F19" s="9">
        <v>0.77083333333333337</v>
      </c>
      <c r="G19" s="8">
        <v>20612</v>
      </c>
      <c r="H19" s="75">
        <f t="shared" si="0"/>
        <v>0</v>
      </c>
      <c r="I19" s="41">
        <f t="shared" si="2"/>
        <v>38703</v>
      </c>
      <c r="J19" s="11" t="s">
        <v>25</v>
      </c>
      <c r="K19" s="10">
        <v>20644</v>
      </c>
      <c r="L19" s="30">
        <f t="shared" si="5"/>
        <v>0</v>
      </c>
      <c r="M19" s="43">
        <f t="shared" si="3"/>
        <v>38369</v>
      </c>
      <c r="N19" s="13" t="s">
        <v>290</v>
      </c>
      <c r="O19" s="12">
        <v>20684</v>
      </c>
      <c r="P19" s="23">
        <f t="shared" si="4"/>
        <v>5</v>
      </c>
      <c r="R19" s="72"/>
    </row>
    <row r="20" spans="1:18" x14ac:dyDescent="0.2">
      <c r="A20" s="1" t="s">
        <v>406</v>
      </c>
      <c r="B20" s="2">
        <f>IF(AND(B13&gt;480,B17&lt;480),480-B17,0)</f>
        <v>0</v>
      </c>
      <c r="C20" s="3"/>
      <c r="D20" s="3"/>
      <c r="E20" s="38">
        <f t="shared" si="1"/>
        <v>39404</v>
      </c>
      <c r="F20" s="9">
        <v>0.77083333333333337</v>
      </c>
      <c r="G20" s="8">
        <v>20612</v>
      </c>
      <c r="H20" s="75">
        <f t="shared" si="0"/>
        <v>0</v>
      </c>
      <c r="I20" s="41">
        <f t="shared" si="2"/>
        <v>38704</v>
      </c>
      <c r="J20" s="11" t="s">
        <v>26</v>
      </c>
      <c r="K20" s="10">
        <v>20644</v>
      </c>
      <c r="L20" s="30">
        <f t="shared" si="5"/>
        <v>0</v>
      </c>
      <c r="M20" s="43">
        <f t="shared" si="3"/>
        <v>38370</v>
      </c>
      <c r="N20" s="13" t="s">
        <v>290</v>
      </c>
      <c r="O20" s="12">
        <v>20687</v>
      </c>
      <c r="P20" s="23">
        <f t="shared" si="4"/>
        <v>3</v>
      </c>
      <c r="R20" s="72"/>
    </row>
    <row r="21" spans="1:18" x14ac:dyDescent="0.2">
      <c r="A21" s="1" t="s">
        <v>407</v>
      </c>
      <c r="B21" s="2">
        <f>IF(AND(B14&gt;0,B18=0),(K33-B16-B20)*B68,120)</f>
        <v>57.193864000000005</v>
      </c>
      <c r="C21" s="3"/>
      <c r="D21" s="3"/>
      <c r="E21" s="38">
        <f t="shared" si="1"/>
        <v>39405</v>
      </c>
      <c r="F21" s="9" t="s">
        <v>25</v>
      </c>
      <c r="G21" s="8">
        <v>20612</v>
      </c>
      <c r="H21" s="75">
        <f t="shared" si="0"/>
        <v>0</v>
      </c>
      <c r="I21" s="41">
        <f t="shared" si="2"/>
        <v>38705</v>
      </c>
      <c r="J21" s="11">
        <v>0.77083333333333337</v>
      </c>
      <c r="K21" s="10">
        <v>20644</v>
      </c>
      <c r="L21" s="30">
        <f t="shared" si="5"/>
        <v>0</v>
      </c>
      <c r="M21" s="43">
        <f t="shared" si="3"/>
        <v>38371</v>
      </c>
      <c r="N21" s="13" t="s">
        <v>290</v>
      </c>
      <c r="O21" s="12">
        <v>20689</v>
      </c>
      <c r="P21" s="23">
        <f t="shared" si="4"/>
        <v>2</v>
      </c>
      <c r="R21" s="72"/>
    </row>
    <row r="22" spans="1:18" x14ac:dyDescent="0.2">
      <c r="A22" s="1" t="s">
        <v>408</v>
      </c>
      <c r="B22" s="104"/>
      <c r="C22" s="104"/>
      <c r="E22" s="38">
        <f t="shared" si="1"/>
        <v>39406</v>
      </c>
      <c r="F22" s="9" t="s">
        <v>26</v>
      </c>
      <c r="G22" s="8">
        <v>20612</v>
      </c>
      <c r="H22" s="75">
        <f t="shared" si="0"/>
        <v>0</v>
      </c>
      <c r="I22" s="41">
        <f t="shared" si="2"/>
        <v>38706</v>
      </c>
      <c r="J22" s="11">
        <v>0.77083333333333337</v>
      </c>
      <c r="K22" s="10">
        <v>20648</v>
      </c>
      <c r="L22" s="30">
        <f t="shared" si="5"/>
        <v>4</v>
      </c>
      <c r="M22" s="43">
        <f t="shared" si="3"/>
        <v>38372</v>
      </c>
      <c r="N22" s="13" t="s">
        <v>290</v>
      </c>
      <c r="O22" s="12">
        <v>20691</v>
      </c>
      <c r="P22" s="23">
        <f t="shared" si="4"/>
        <v>2</v>
      </c>
      <c r="R22" s="72"/>
    </row>
    <row r="23" spans="1:18" x14ac:dyDescent="0.2">
      <c r="A23" s="1" t="s">
        <v>354</v>
      </c>
      <c r="B23" s="104">
        <f>IF(B14=0,0,B14-120)</f>
        <v>-40.33711799999999</v>
      </c>
      <c r="E23" s="38">
        <f t="shared" si="1"/>
        <v>39407</v>
      </c>
      <c r="F23" s="9">
        <v>0.77083333333333337</v>
      </c>
      <c r="G23" s="8">
        <v>20612</v>
      </c>
      <c r="H23" s="75">
        <f t="shared" si="0"/>
        <v>0</v>
      </c>
      <c r="I23" s="41">
        <f t="shared" si="2"/>
        <v>38707</v>
      </c>
      <c r="J23" s="11">
        <v>0.77083333333333337</v>
      </c>
      <c r="K23" s="10">
        <v>20650</v>
      </c>
      <c r="L23" s="30">
        <f t="shared" si="5"/>
        <v>2</v>
      </c>
      <c r="M23" s="43">
        <f t="shared" si="3"/>
        <v>38373</v>
      </c>
      <c r="N23" s="13" t="s">
        <v>25</v>
      </c>
      <c r="O23" s="12">
        <v>20691</v>
      </c>
      <c r="P23" s="23">
        <f t="shared" si="4"/>
        <v>0</v>
      </c>
      <c r="R23" s="72"/>
    </row>
    <row r="24" spans="1:18" x14ac:dyDescent="0.2">
      <c r="A24" s="1" t="s">
        <v>390</v>
      </c>
      <c r="B24" s="104"/>
      <c r="E24" s="38">
        <f t="shared" si="1"/>
        <v>39408</v>
      </c>
      <c r="F24" s="9">
        <v>0.77083333333333337</v>
      </c>
      <c r="G24" s="8">
        <v>20614</v>
      </c>
      <c r="H24" s="75">
        <f t="shared" si="0"/>
        <v>2</v>
      </c>
      <c r="I24" s="41">
        <f t="shared" si="2"/>
        <v>38708</v>
      </c>
      <c r="J24" s="11">
        <v>0.77083333333333337</v>
      </c>
      <c r="K24" s="10">
        <v>20653</v>
      </c>
      <c r="L24" s="30">
        <f t="shared" si="5"/>
        <v>3</v>
      </c>
      <c r="M24" s="43">
        <f t="shared" si="3"/>
        <v>38374</v>
      </c>
      <c r="N24" s="13" t="s">
        <v>26</v>
      </c>
      <c r="O24" s="12">
        <v>20691</v>
      </c>
      <c r="P24" s="23">
        <f t="shared" si="4"/>
        <v>0</v>
      </c>
      <c r="R24" s="72"/>
    </row>
    <row r="25" spans="1:18" x14ac:dyDescent="0.2">
      <c r="E25" s="38">
        <f t="shared" si="1"/>
        <v>39409</v>
      </c>
      <c r="F25" s="9">
        <v>0.77083333333333337</v>
      </c>
      <c r="G25" s="8">
        <v>20615</v>
      </c>
      <c r="H25" s="75">
        <f t="shared" si="0"/>
        <v>1</v>
      </c>
      <c r="I25" s="41">
        <f t="shared" si="2"/>
        <v>38709</v>
      </c>
      <c r="J25" s="11">
        <v>0.77083333333333337</v>
      </c>
      <c r="K25" s="10">
        <v>20655</v>
      </c>
      <c r="L25" s="30">
        <f t="shared" si="5"/>
        <v>2</v>
      </c>
      <c r="M25" s="43">
        <f t="shared" si="3"/>
        <v>38375</v>
      </c>
      <c r="N25" s="13" t="s">
        <v>290</v>
      </c>
      <c r="O25" s="12">
        <v>20691</v>
      </c>
      <c r="P25" s="23">
        <f t="shared" si="4"/>
        <v>0</v>
      </c>
      <c r="R25" s="72"/>
    </row>
    <row r="26" spans="1:18" x14ac:dyDescent="0.2">
      <c r="A26" s="1" t="s">
        <v>409</v>
      </c>
      <c r="B26" s="66" t="s">
        <v>8</v>
      </c>
      <c r="C26" s="67" t="s">
        <v>5</v>
      </c>
      <c r="D26" s="67" t="s">
        <v>6</v>
      </c>
      <c r="E26" s="38">
        <f t="shared" si="1"/>
        <v>39410</v>
      </c>
      <c r="F26" s="9">
        <v>0.77083333333333337</v>
      </c>
      <c r="G26" s="8">
        <v>20616</v>
      </c>
      <c r="H26" s="75">
        <f t="shared" si="0"/>
        <v>1</v>
      </c>
      <c r="I26" s="41">
        <f t="shared" si="2"/>
        <v>38710</v>
      </c>
      <c r="J26" s="11" t="s">
        <v>25</v>
      </c>
      <c r="K26" s="10">
        <v>20657</v>
      </c>
      <c r="L26" s="30">
        <f t="shared" si="5"/>
        <v>2</v>
      </c>
      <c r="M26" s="43">
        <f t="shared" si="3"/>
        <v>38376</v>
      </c>
      <c r="N26" s="13" t="s">
        <v>290</v>
      </c>
      <c r="O26" s="12">
        <v>20696</v>
      </c>
      <c r="P26" s="23">
        <f t="shared" si="4"/>
        <v>5</v>
      </c>
      <c r="R26" s="72"/>
    </row>
    <row r="27" spans="1:18" x14ac:dyDescent="0.2">
      <c r="A27" s="5"/>
      <c r="B27" s="2"/>
      <c r="C27" s="3"/>
      <c r="D27" s="3"/>
      <c r="E27" s="38">
        <f t="shared" si="1"/>
        <v>39411</v>
      </c>
      <c r="F27" s="9">
        <v>0.77083333333333337</v>
      </c>
      <c r="G27" s="8">
        <v>20618</v>
      </c>
      <c r="H27" s="75">
        <f t="shared" si="0"/>
        <v>2</v>
      </c>
      <c r="I27" s="46">
        <f t="shared" si="2"/>
        <v>38711</v>
      </c>
      <c r="J27" s="11" t="s">
        <v>31</v>
      </c>
      <c r="K27" s="10">
        <v>20657</v>
      </c>
      <c r="L27" s="30">
        <f t="shared" si="5"/>
        <v>0</v>
      </c>
      <c r="M27" s="43">
        <f t="shared" si="3"/>
        <v>38377</v>
      </c>
      <c r="N27" s="13" t="s">
        <v>290</v>
      </c>
      <c r="O27" s="12">
        <v>20699</v>
      </c>
      <c r="P27" s="23">
        <f t="shared" si="4"/>
        <v>3</v>
      </c>
      <c r="R27" s="72"/>
    </row>
    <row r="28" spans="1:18" x14ac:dyDescent="0.2">
      <c r="A28" s="1" t="s">
        <v>0</v>
      </c>
      <c r="B28" s="2">
        <f ca="1">SUM(TODAY()-D16)</f>
        <v>139</v>
      </c>
      <c r="C28" s="3"/>
      <c r="D28" s="3"/>
      <c r="E28" s="38">
        <f t="shared" si="1"/>
        <v>39412</v>
      </c>
      <c r="F28" s="9" t="s">
        <v>25</v>
      </c>
      <c r="G28" s="8">
        <v>20618</v>
      </c>
      <c r="H28" s="75">
        <f t="shared" si="0"/>
        <v>0</v>
      </c>
      <c r="I28" s="41">
        <f t="shared" si="2"/>
        <v>38712</v>
      </c>
      <c r="J28" s="11" t="s">
        <v>392</v>
      </c>
      <c r="K28" s="10">
        <v>20657</v>
      </c>
      <c r="L28" s="30">
        <f t="shared" si="5"/>
        <v>0</v>
      </c>
      <c r="M28" s="43">
        <f t="shared" si="3"/>
        <v>38378</v>
      </c>
      <c r="N28" s="13" t="s">
        <v>290</v>
      </c>
      <c r="O28" s="12">
        <v>20701</v>
      </c>
      <c r="P28" s="23">
        <f t="shared" si="4"/>
        <v>2</v>
      </c>
      <c r="R28" s="72"/>
    </row>
    <row r="29" spans="1:18" x14ac:dyDescent="0.2">
      <c r="A29" s="1" t="s">
        <v>85</v>
      </c>
      <c r="B29" s="2">
        <f>(MAX(G3:G32, K3:K33,O3:O33, G37:G70, K37:K72, O37:O71)-B16)*B68</f>
        <v>136.85674600000002</v>
      </c>
      <c r="C29" s="3"/>
      <c r="D29" s="3"/>
      <c r="E29" s="38">
        <f t="shared" si="1"/>
        <v>39413</v>
      </c>
      <c r="F29" s="9" t="s">
        <v>26</v>
      </c>
      <c r="G29" s="8">
        <v>20618</v>
      </c>
      <c r="H29" s="75">
        <f t="shared" si="0"/>
        <v>0</v>
      </c>
      <c r="I29" s="41">
        <f>I28+1</f>
        <v>38713</v>
      </c>
      <c r="J29" s="11">
        <v>0.77083333333333337</v>
      </c>
      <c r="K29" s="10">
        <v>20659</v>
      </c>
      <c r="L29" s="30">
        <f t="shared" si="5"/>
        <v>2</v>
      </c>
      <c r="M29" s="43">
        <f>M28+1</f>
        <v>38379</v>
      </c>
      <c r="N29" s="13" t="s">
        <v>290</v>
      </c>
      <c r="O29" s="12">
        <v>20703</v>
      </c>
      <c r="P29" s="23">
        <f t="shared" si="4"/>
        <v>2</v>
      </c>
      <c r="R29" s="72"/>
    </row>
    <row r="30" spans="1:18" x14ac:dyDescent="0.2">
      <c r="A30" s="1" t="s">
        <v>295</v>
      </c>
      <c r="B30" s="2">
        <f>IF((B14&gt;120),0,B29)</f>
        <v>136.85674600000002</v>
      </c>
      <c r="C30" s="3">
        <f>B54</f>
        <v>0.27385999999999999</v>
      </c>
      <c r="D30" s="3">
        <f>(B30*C30)</f>
        <v>37.479588459560006</v>
      </c>
      <c r="E30" s="38">
        <f t="shared" si="1"/>
        <v>39414</v>
      </c>
      <c r="F30" s="9">
        <v>0.77083333333333337</v>
      </c>
      <c r="G30" s="8">
        <v>20618</v>
      </c>
      <c r="H30" s="75">
        <f t="shared" si="0"/>
        <v>0</v>
      </c>
      <c r="I30" s="41">
        <f>I29+1</f>
        <v>38714</v>
      </c>
      <c r="J30" s="11">
        <v>0.77083333333333337</v>
      </c>
      <c r="K30" s="10">
        <v>20661</v>
      </c>
      <c r="L30" s="30">
        <f t="shared" si="5"/>
        <v>2</v>
      </c>
      <c r="M30" s="43">
        <f>M29+1</f>
        <v>38380</v>
      </c>
      <c r="N30" s="13" t="s">
        <v>25</v>
      </c>
      <c r="O30" s="12">
        <v>20703</v>
      </c>
      <c r="P30" s="23">
        <f t="shared" si="4"/>
        <v>0</v>
      </c>
      <c r="R30" s="72"/>
    </row>
    <row r="31" spans="1:18" x14ac:dyDescent="0.2">
      <c r="A31" s="1" t="s">
        <v>296</v>
      </c>
      <c r="B31" s="121">
        <f>IF(AND(B14&gt;120,B13&lt;480),(B29),0)</f>
        <v>0</v>
      </c>
      <c r="C31" s="3">
        <f>B55</f>
        <v>0.27385999999999999</v>
      </c>
      <c r="D31" s="3">
        <f>(B31*C31)</f>
        <v>0</v>
      </c>
      <c r="E31" s="38">
        <f t="shared" si="1"/>
        <v>39415</v>
      </c>
      <c r="F31" s="9">
        <v>0.77083333333333337</v>
      </c>
      <c r="G31" s="8">
        <v>20621</v>
      </c>
      <c r="H31" s="75">
        <f t="shared" si="0"/>
        <v>3</v>
      </c>
      <c r="I31" s="41">
        <f>I30+1</f>
        <v>38715</v>
      </c>
      <c r="J31" s="11">
        <v>0.77083333333333337</v>
      </c>
      <c r="K31" s="10">
        <v>20663</v>
      </c>
      <c r="L31" s="30">
        <f t="shared" si="5"/>
        <v>2</v>
      </c>
      <c r="M31" s="43">
        <f>M30+1</f>
        <v>38381</v>
      </c>
      <c r="N31" s="13" t="s">
        <v>26</v>
      </c>
      <c r="O31" s="12">
        <v>20703</v>
      </c>
      <c r="P31" s="23">
        <f t="shared" si="4"/>
        <v>0</v>
      </c>
      <c r="R31" s="72"/>
    </row>
    <row r="32" spans="1:18" x14ac:dyDescent="0.2">
      <c r="A32" s="1" t="s">
        <v>297</v>
      </c>
      <c r="B32" s="2">
        <f>IF(K33&lt;O3,0,0)</f>
        <v>0</v>
      </c>
      <c r="C32" s="3">
        <f>B56</f>
        <v>0.27385999999999999</v>
      </c>
      <c r="D32" s="3">
        <f>(B32*C32)</f>
        <v>0</v>
      </c>
      <c r="E32" s="38">
        <f t="shared" si="1"/>
        <v>39416</v>
      </c>
      <c r="F32" s="9">
        <v>0.77083333333333337</v>
      </c>
      <c r="G32" s="8">
        <v>20623</v>
      </c>
      <c r="H32" s="75">
        <f t="shared" si="0"/>
        <v>2</v>
      </c>
      <c r="I32" s="41">
        <f>I31+1</f>
        <v>38716</v>
      </c>
      <c r="J32" s="11">
        <v>0.77083333333333337</v>
      </c>
      <c r="K32" s="10">
        <v>20664</v>
      </c>
      <c r="L32" s="30">
        <f t="shared" si="5"/>
        <v>1</v>
      </c>
      <c r="M32" s="43">
        <f>M31+1</f>
        <v>38382</v>
      </c>
      <c r="N32" s="13" t="s">
        <v>290</v>
      </c>
      <c r="O32" s="12">
        <v>20703</v>
      </c>
      <c r="P32" s="23">
        <f t="shared" si="4"/>
        <v>0</v>
      </c>
      <c r="R32" s="72"/>
    </row>
    <row r="33" spans="1:18" x14ac:dyDescent="0.2">
      <c r="A33" s="1" t="s">
        <v>311</v>
      </c>
      <c r="B33" s="2">
        <f>B30</f>
        <v>136.85674600000002</v>
      </c>
      <c r="C33" s="68">
        <v>7.9459999999999999E-3</v>
      </c>
      <c r="D33" s="3">
        <f>(B33*C33)</f>
        <v>1.0874637037160002</v>
      </c>
      <c r="E33" s="38"/>
      <c r="F33" s="8"/>
      <c r="G33" s="8"/>
      <c r="H33" s="75" t="str">
        <f t="shared" si="0"/>
        <v/>
      </c>
      <c r="I33" s="41">
        <f>I32+1</f>
        <v>38717</v>
      </c>
      <c r="J33" s="11" t="s">
        <v>25</v>
      </c>
      <c r="K33" s="10">
        <v>20664</v>
      </c>
      <c r="L33" s="30">
        <f t="shared" si="5"/>
        <v>0</v>
      </c>
      <c r="M33" s="43">
        <f>M32+1</f>
        <v>38383</v>
      </c>
      <c r="N33" s="13" t="s">
        <v>290</v>
      </c>
      <c r="O33" s="12">
        <v>20708</v>
      </c>
      <c r="P33" s="23">
        <f t="shared" si="4"/>
        <v>5</v>
      </c>
      <c r="R33" s="72"/>
    </row>
    <row r="34" spans="1:18" ht="13.5" thickBot="1" x14ac:dyDescent="0.25">
      <c r="A34" s="1" t="s">
        <v>312</v>
      </c>
      <c r="B34" s="2">
        <f>B31</f>
        <v>0</v>
      </c>
      <c r="C34" s="68">
        <v>7.9459999999999999E-3</v>
      </c>
      <c r="D34" s="3">
        <f t="shared" ref="D34:D48" si="6">B34*C34</f>
        <v>0</v>
      </c>
      <c r="E34" s="38"/>
      <c r="F34" s="8"/>
      <c r="G34" s="8"/>
      <c r="H34" s="75" t="str">
        <f>IF(AND(H32&lt;&gt;"",G33&lt;&gt;""),G33-G32,"")</f>
        <v/>
      </c>
      <c r="I34" s="41"/>
      <c r="J34" s="51"/>
      <c r="K34" s="57"/>
      <c r="L34" s="30" t="str">
        <f t="shared" si="5"/>
        <v/>
      </c>
      <c r="M34" s="43"/>
      <c r="N34" s="12"/>
      <c r="O34" s="12"/>
      <c r="P34" s="23" t="str">
        <f t="shared" si="4"/>
        <v/>
      </c>
      <c r="R34" s="72"/>
    </row>
    <row r="35" spans="1:18" ht="13.5" thickTop="1" x14ac:dyDescent="0.2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7" t="s">
        <v>13</v>
      </c>
      <c r="F35" s="19" t="s">
        <v>10</v>
      </c>
      <c r="G35" s="19" t="s">
        <v>9</v>
      </c>
      <c r="H35" s="74" t="s">
        <v>11</v>
      </c>
      <c r="I35" s="45" t="s">
        <v>14</v>
      </c>
      <c r="J35" s="35" t="s">
        <v>10</v>
      </c>
      <c r="K35" s="20" t="s">
        <v>9</v>
      </c>
      <c r="L35" s="50" t="s">
        <v>11</v>
      </c>
      <c r="M35" s="48" t="s">
        <v>21</v>
      </c>
      <c r="N35" s="21" t="s">
        <v>10</v>
      </c>
      <c r="O35" s="21" t="s">
        <v>9</v>
      </c>
      <c r="P35" s="22" t="s">
        <v>11</v>
      </c>
      <c r="R35" s="72"/>
    </row>
    <row r="36" spans="1:18" x14ac:dyDescent="0.2">
      <c r="A36" s="1" t="s">
        <v>301</v>
      </c>
      <c r="B36" s="2">
        <f t="shared" ref="B36:B41" si="7">B30</f>
        <v>136.85674600000002</v>
      </c>
      <c r="C36" s="3">
        <v>5.9560000000000002E-2</v>
      </c>
      <c r="D36" s="3">
        <f t="shared" si="6"/>
        <v>8.1511877917600017</v>
      </c>
      <c r="E36" s="38"/>
      <c r="F36" s="8"/>
      <c r="G36" s="8"/>
      <c r="H36" s="75"/>
      <c r="I36" s="46"/>
      <c r="J36" s="11"/>
      <c r="K36" s="10"/>
      <c r="L36" s="30"/>
      <c r="M36" s="49"/>
      <c r="N36" s="12"/>
      <c r="O36" s="12"/>
      <c r="P36" s="23"/>
      <c r="R36" s="72"/>
    </row>
    <row r="37" spans="1:18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>
        <v>38384</v>
      </c>
      <c r="F37" s="9">
        <v>0.77083333333333337</v>
      </c>
      <c r="G37" s="8">
        <v>20709</v>
      </c>
      <c r="H37" s="75">
        <f>G37-O33</f>
        <v>1</v>
      </c>
      <c r="I37" s="46">
        <v>38412</v>
      </c>
      <c r="J37" s="11">
        <v>0.77083333333333337</v>
      </c>
      <c r="K37" s="10">
        <v>20736</v>
      </c>
      <c r="L37" s="30">
        <f>IF(AND(H68&lt;&gt;"",K37&lt;&gt;""),K37-K36,K37-MAX(G37:G68))</f>
        <v>2</v>
      </c>
      <c r="M37" s="43">
        <v>38443</v>
      </c>
      <c r="N37" s="13" t="s">
        <v>290</v>
      </c>
      <c r="O37" s="12"/>
      <c r="P37" s="23">
        <f>IF(AND(L68&lt;&gt;"",O37&lt;&gt;""),O37-O36,O37-MAX(K37:K68))</f>
        <v>-20742</v>
      </c>
      <c r="R37" s="72"/>
    </row>
    <row r="38" spans="1:18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f>E37+1</f>
        <v>38385</v>
      </c>
      <c r="F38" s="9">
        <v>0.77083333333333337</v>
      </c>
      <c r="G38" s="8">
        <v>20710</v>
      </c>
      <c r="H38" s="75">
        <f t="shared" ref="H38:H61" si="8">IF(AND(H37&lt;&gt;"",G38&lt;&gt;""),G38-G37,"")</f>
        <v>1</v>
      </c>
      <c r="I38" s="41">
        <f>I37+1</f>
        <v>38413</v>
      </c>
      <c r="J38" s="11">
        <v>0.77083333333333337</v>
      </c>
      <c r="K38" s="10">
        <v>20738</v>
      </c>
      <c r="L38" s="30">
        <f t="shared" ref="L38:L68" si="9">IF(AND(L37&lt;&gt;"",K38&lt;&gt;""),K38-K37,"")</f>
        <v>2</v>
      </c>
      <c r="M38" s="43">
        <f>M37+1</f>
        <v>38444</v>
      </c>
      <c r="N38" s="13" t="s">
        <v>290</v>
      </c>
      <c r="O38" s="12"/>
      <c r="P38" s="23" t="str">
        <f t="shared" ref="P38:P66" si="10">IF(AND(P37&lt;&gt;"",O38&lt;&gt;""),O38-O37,"")</f>
        <v/>
      </c>
      <c r="R38" s="72"/>
    </row>
    <row r="39" spans="1:18" x14ac:dyDescent="0.2">
      <c r="A39" s="1" t="s">
        <v>292</v>
      </c>
      <c r="B39" s="2">
        <f t="shared" si="7"/>
        <v>136.85674600000002</v>
      </c>
      <c r="C39" s="3">
        <v>3.0720999999999998E-2</v>
      </c>
      <c r="D39" s="3">
        <f t="shared" si="6"/>
        <v>4.2043760938660002</v>
      </c>
      <c r="E39" s="38">
        <f t="shared" ref="E39:E64" si="11">E38+1</f>
        <v>38386</v>
      </c>
      <c r="F39" s="9">
        <v>0.77083333333333337</v>
      </c>
      <c r="G39" s="8">
        <v>20711</v>
      </c>
      <c r="H39" s="75">
        <f t="shared" si="8"/>
        <v>1</v>
      </c>
      <c r="I39" s="41">
        <f t="shared" ref="I39:I61" si="12">I38+1</f>
        <v>38414</v>
      </c>
      <c r="J39" s="11">
        <v>0.77083333333333337</v>
      </c>
      <c r="K39" s="10">
        <v>20739</v>
      </c>
      <c r="L39" s="30">
        <f t="shared" si="9"/>
        <v>1</v>
      </c>
      <c r="M39" s="43">
        <f t="shared" ref="M39:M66" si="13">M38+1</f>
        <v>38445</v>
      </c>
      <c r="N39" s="13" t="s">
        <v>290</v>
      </c>
      <c r="O39" s="12"/>
      <c r="P39" s="23" t="str">
        <f t="shared" si="10"/>
        <v/>
      </c>
      <c r="R39" s="72"/>
    </row>
    <row r="40" spans="1:18" x14ac:dyDescent="0.2">
      <c r="A40" s="1" t="s">
        <v>293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si="11"/>
        <v>38387</v>
      </c>
      <c r="F40" s="9" t="s">
        <v>25</v>
      </c>
      <c r="G40" s="8">
        <v>20711</v>
      </c>
      <c r="H40" s="75">
        <f t="shared" si="8"/>
        <v>0</v>
      </c>
      <c r="I40" s="41">
        <f t="shared" si="12"/>
        <v>38415</v>
      </c>
      <c r="J40" s="11" t="s">
        <v>25</v>
      </c>
      <c r="K40" s="10">
        <v>20739</v>
      </c>
      <c r="L40" s="30">
        <f t="shared" si="9"/>
        <v>0</v>
      </c>
      <c r="M40" s="43">
        <f t="shared" si="13"/>
        <v>38446</v>
      </c>
      <c r="N40" s="13" t="s">
        <v>290</v>
      </c>
      <c r="O40" s="12"/>
      <c r="P40" s="23" t="str">
        <f t="shared" si="10"/>
        <v/>
      </c>
      <c r="R40" s="72"/>
    </row>
    <row r="41" spans="1:18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38388</v>
      </c>
      <c r="F41" s="9" t="s">
        <v>26</v>
      </c>
      <c r="G41" s="8">
        <v>20711</v>
      </c>
      <c r="H41" s="75">
        <f t="shared" si="8"/>
        <v>0</v>
      </c>
      <c r="I41" s="41">
        <f t="shared" si="12"/>
        <v>38416</v>
      </c>
      <c r="J41" s="11" t="s">
        <v>26</v>
      </c>
      <c r="K41" s="10">
        <v>20739</v>
      </c>
      <c r="L41" s="30">
        <f t="shared" si="9"/>
        <v>0</v>
      </c>
      <c r="M41" s="43">
        <f t="shared" si="13"/>
        <v>38447</v>
      </c>
      <c r="N41" s="13" t="s">
        <v>290</v>
      </c>
      <c r="O41" s="12"/>
      <c r="P41" s="23" t="str">
        <f t="shared" si="10"/>
        <v/>
      </c>
      <c r="R41" s="72"/>
    </row>
    <row r="42" spans="1:18" x14ac:dyDescent="0.2">
      <c r="A42" s="1" t="s">
        <v>323</v>
      </c>
      <c r="B42" s="2">
        <f ca="1">B28</f>
        <v>139</v>
      </c>
      <c r="C42" s="70">
        <f>(B62+B63+B64)/365</f>
        <v>0.2233698630136986</v>
      </c>
      <c r="D42" s="3">
        <f t="shared" ca="1" si="6"/>
        <v>31.048410958904107</v>
      </c>
      <c r="E42" s="38">
        <f t="shared" si="11"/>
        <v>38389</v>
      </c>
      <c r="F42" s="9">
        <v>0.77083333333333337</v>
      </c>
      <c r="G42" s="8">
        <v>20711</v>
      </c>
      <c r="H42" s="75">
        <f t="shared" si="8"/>
        <v>0</v>
      </c>
      <c r="I42" s="41">
        <f t="shared" si="12"/>
        <v>38417</v>
      </c>
      <c r="J42" s="11">
        <v>0.77083333333333337</v>
      </c>
      <c r="K42" s="10">
        <v>20739</v>
      </c>
      <c r="L42" s="30">
        <f t="shared" si="9"/>
        <v>0</v>
      </c>
      <c r="M42" s="43">
        <f t="shared" si="13"/>
        <v>38448</v>
      </c>
      <c r="N42" s="13" t="s">
        <v>290</v>
      </c>
      <c r="O42" s="12"/>
      <c r="P42" s="23" t="str">
        <f t="shared" si="10"/>
        <v/>
      </c>
      <c r="R42" s="72"/>
    </row>
    <row r="43" spans="1:18" x14ac:dyDescent="0.2">
      <c r="A43" s="1" t="s">
        <v>22</v>
      </c>
      <c r="B43" s="2">
        <f>B30</f>
        <v>136.85674600000002</v>
      </c>
      <c r="C43" s="3">
        <v>2.6554000000000001E-2</v>
      </c>
      <c r="D43" s="3">
        <f t="shared" si="6"/>
        <v>3.6340940332840006</v>
      </c>
      <c r="E43" s="38">
        <f t="shared" si="11"/>
        <v>38390</v>
      </c>
      <c r="F43" s="9">
        <v>0.77083333333333337</v>
      </c>
      <c r="G43" s="8">
        <v>20715</v>
      </c>
      <c r="H43" s="75">
        <f t="shared" si="8"/>
        <v>4</v>
      </c>
      <c r="I43" s="41">
        <f t="shared" si="12"/>
        <v>38418</v>
      </c>
      <c r="J43" s="11">
        <v>0.77083333333333337</v>
      </c>
      <c r="K43" s="10">
        <v>20741</v>
      </c>
      <c r="L43" s="30">
        <f t="shared" si="9"/>
        <v>2</v>
      </c>
      <c r="M43" s="43">
        <f t="shared" si="13"/>
        <v>38449</v>
      </c>
      <c r="N43" s="13" t="s">
        <v>290</v>
      </c>
      <c r="O43" s="12"/>
      <c r="P43" s="23" t="str">
        <f t="shared" si="10"/>
        <v/>
      </c>
      <c r="R43" s="72"/>
    </row>
    <row r="44" spans="1:18" x14ac:dyDescent="0.2">
      <c r="A44" s="1" t="s">
        <v>15</v>
      </c>
      <c r="B44" s="2">
        <f>B31</f>
        <v>0</v>
      </c>
      <c r="C44" s="3">
        <v>0.125357</v>
      </c>
      <c r="D44" s="3">
        <f t="shared" si="6"/>
        <v>0</v>
      </c>
      <c r="E44" s="38">
        <f t="shared" si="11"/>
        <v>38391</v>
      </c>
      <c r="F44" s="9">
        <v>0.77083333333333337</v>
      </c>
      <c r="G44" s="8">
        <v>20717</v>
      </c>
      <c r="H44" s="75">
        <f t="shared" si="8"/>
        <v>2</v>
      </c>
      <c r="I44" s="41">
        <f t="shared" si="12"/>
        <v>38419</v>
      </c>
      <c r="J44" s="11">
        <v>0.77083333333333337</v>
      </c>
      <c r="K44" s="10">
        <v>20742</v>
      </c>
      <c r="L44" s="30">
        <f t="shared" si="9"/>
        <v>1</v>
      </c>
      <c r="M44" s="43">
        <f t="shared" si="13"/>
        <v>38450</v>
      </c>
      <c r="N44" s="13" t="s">
        <v>290</v>
      </c>
      <c r="O44" s="12"/>
      <c r="P44" s="23" t="str">
        <f t="shared" si="10"/>
        <v/>
      </c>
      <c r="R44" s="72"/>
    </row>
    <row r="45" spans="1:18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38392</v>
      </c>
      <c r="F45" s="9">
        <v>0.77083333333333337</v>
      </c>
      <c r="G45" s="8">
        <v>20719</v>
      </c>
      <c r="H45" s="75">
        <f t="shared" si="8"/>
        <v>2</v>
      </c>
      <c r="I45" s="41">
        <f t="shared" si="12"/>
        <v>38420</v>
      </c>
      <c r="J45" s="11">
        <v>0.77083333333333337</v>
      </c>
      <c r="K45" s="10"/>
      <c r="L45" s="30" t="str">
        <f t="shared" si="9"/>
        <v/>
      </c>
      <c r="M45" s="43">
        <f t="shared" si="13"/>
        <v>38451</v>
      </c>
      <c r="N45" s="13" t="s">
        <v>290</v>
      </c>
      <c r="O45" s="12"/>
      <c r="P45" s="23" t="str">
        <f t="shared" si="10"/>
        <v/>
      </c>
      <c r="R45" s="72"/>
    </row>
    <row r="46" spans="1:18" x14ac:dyDescent="0.2">
      <c r="A46" s="1" t="s">
        <v>314</v>
      </c>
      <c r="B46" s="104">
        <f>B30</f>
        <v>136.85674600000002</v>
      </c>
      <c r="C46" s="120">
        <f>B58</f>
        <v>4.3999999999999997E-2</v>
      </c>
      <c r="D46" s="3">
        <f t="shared" si="6"/>
        <v>6.0216968240000002</v>
      </c>
      <c r="E46" s="38">
        <f t="shared" si="11"/>
        <v>38393</v>
      </c>
      <c r="F46" s="9">
        <v>0.77083333333333337</v>
      </c>
      <c r="G46" s="8">
        <v>20719</v>
      </c>
      <c r="H46" s="75">
        <f t="shared" si="8"/>
        <v>0</v>
      </c>
      <c r="I46" s="41">
        <f t="shared" si="12"/>
        <v>38421</v>
      </c>
      <c r="J46" s="11">
        <v>0.77083333333333337</v>
      </c>
      <c r="K46" s="10"/>
      <c r="L46" s="30" t="str">
        <f t="shared" si="9"/>
        <v/>
      </c>
      <c r="M46" s="43">
        <f t="shared" si="13"/>
        <v>38452</v>
      </c>
      <c r="N46" s="13" t="s">
        <v>290</v>
      </c>
      <c r="O46" s="12"/>
      <c r="P46" s="23" t="str">
        <f t="shared" si="10"/>
        <v/>
      </c>
      <c r="R46" s="72"/>
    </row>
    <row r="47" spans="1:18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6"/>
        <v>0</v>
      </c>
      <c r="E47" s="38">
        <f t="shared" si="11"/>
        <v>38394</v>
      </c>
      <c r="F47" s="9" t="s">
        <v>25</v>
      </c>
      <c r="G47" s="8">
        <v>20719</v>
      </c>
      <c r="H47" s="75">
        <f t="shared" si="8"/>
        <v>0</v>
      </c>
      <c r="I47" s="41">
        <f t="shared" si="12"/>
        <v>38422</v>
      </c>
      <c r="J47" s="11" t="s">
        <v>25</v>
      </c>
      <c r="K47" s="10"/>
      <c r="L47" s="30" t="str">
        <f t="shared" si="9"/>
        <v/>
      </c>
      <c r="M47" s="43">
        <f t="shared" si="13"/>
        <v>38453</v>
      </c>
      <c r="N47" s="13" t="s">
        <v>290</v>
      </c>
      <c r="O47" s="12"/>
      <c r="P47" s="23" t="str">
        <f t="shared" si="10"/>
        <v/>
      </c>
      <c r="R47" s="72"/>
    </row>
    <row r="48" spans="1:18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38395</v>
      </c>
      <c r="F48" s="9" t="s">
        <v>26</v>
      </c>
      <c r="G48" s="8">
        <v>20719</v>
      </c>
      <c r="H48" s="75">
        <f t="shared" si="8"/>
        <v>0</v>
      </c>
      <c r="I48" s="41">
        <f t="shared" si="12"/>
        <v>38423</v>
      </c>
      <c r="J48" s="11" t="s">
        <v>26</v>
      </c>
      <c r="K48" s="10"/>
      <c r="L48" s="30" t="str">
        <f t="shared" si="9"/>
        <v/>
      </c>
      <c r="M48" s="43">
        <f t="shared" si="13"/>
        <v>38454</v>
      </c>
      <c r="N48" s="13" t="s">
        <v>290</v>
      </c>
      <c r="O48" s="12"/>
      <c r="P48" s="23" t="str">
        <f t="shared" si="10"/>
        <v/>
      </c>
      <c r="R48" s="72"/>
    </row>
    <row r="49" spans="1:18" x14ac:dyDescent="0.2">
      <c r="E49" s="38">
        <f t="shared" si="11"/>
        <v>38396</v>
      </c>
      <c r="F49" s="9">
        <v>0.77083333333333337</v>
      </c>
      <c r="G49" s="8">
        <v>20719</v>
      </c>
      <c r="H49" s="75">
        <f t="shared" si="8"/>
        <v>0</v>
      </c>
      <c r="I49" s="41">
        <f t="shared" si="12"/>
        <v>38424</v>
      </c>
      <c r="J49" s="11">
        <v>0.77083333333333337</v>
      </c>
      <c r="K49" s="10"/>
      <c r="L49" s="30" t="str">
        <f t="shared" si="9"/>
        <v/>
      </c>
      <c r="M49" s="43">
        <f t="shared" si="13"/>
        <v>38455</v>
      </c>
      <c r="N49" s="13" t="s">
        <v>290</v>
      </c>
      <c r="O49" s="12"/>
      <c r="P49" s="23" t="str">
        <f t="shared" si="10"/>
        <v/>
      </c>
      <c r="R49" s="72"/>
    </row>
    <row r="50" spans="1:18" x14ac:dyDescent="0.2">
      <c r="E50" s="38">
        <f t="shared" si="11"/>
        <v>38397</v>
      </c>
      <c r="F50" s="9">
        <v>0.77083333333333337</v>
      </c>
      <c r="G50" s="8">
        <v>20722</v>
      </c>
      <c r="H50" s="75">
        <f t="shared" si="8"/>
        <v>3</v>
      </c>
      <c r="I50" s="41">
        <f t="shared" si="12"/>
        <v>38425</v>
      </c>
      <c r="J50" s="11">
        <v>0.77083333333333337</v>
      </c>
      <c r="K50" s="10"/>
      <c r="L50" s="30" t="str">
        <f t="shared" si="9"/>
        <v/>
      </c>
      <c r="M50" s="43">
        <f t="shared" si="13"/>
        <v>38456</v>
      </c>
      <c r="N50" s="13" t="s">
        <v>290</v>
      </c>
      <c r="O50" s="12"/>
      <c r="P50" s="23" t="str">
        <f t="shared" si="10"/>
        <v/>
      </c>
      <c r="R50" s="72"/>
    </row>
    <row r="51" spans="1:18" x14ac:dyDescent="0.2">
      <c r="A51" s="1" t="s">
        <v>96</v>
      </c>
      <c r="B51" s="2"/>
      <c r="C51" s="3"/>
      <c r="D51" s="55">
        <f>(SUM(D30:D31)+SUM(D33:D34)+SUM(D36:D37)+SUM(D39:D40)+SUM(D43+D44+D46+D47))*1.1</f>
        <v>66.636247596804608</v>
      </c>
      <c r="E51" s="38">
        <f t="shared" si="11"/>
        <v>38398</v>
      </c>
      <c r="F51" s="9">
        <v>0.77083333333333337</v>
      </c>
      <c r="G51" s="8">
        <v>20723</v>
      </c>
      <c r="H51" s="75">
        <f t="shared" si="8"/>
        <v>1</v>
      </c>
      <c r="I51" s="41">
        <f t="shared" si="12"/>
        <v>38426</v>
      </c>
      <c r="J51" s="11">
        <v>0.77083333333333337</v>
      </c>
      <c r="K51" s="10"/>
      <c r="L51" s="30" t="str">
        <f t="shared" si="9"/>
        <v/>
      </c>
      <c r="M51" s="43">
        <f t="shared" si="13"/>
        <v>38457</v>
      </c>
      <c r="N51" s="13" t="s">
        <v>290</v>
      </c>
      <c r="O51" s="12"/>
      <c r="P51" s="23" t="str">
        <f t="shared" si="10"/>
        <v/>
      </c>
      <c r="R51" s="72"/>
    </row>
    <row r="52" spans="1:18" x14ac:dyDescent="0.2">
      <c r="A52" s="1" t="s">
        <v>264</v>
      </c>
      <c r="D52" s="55">
        <f ca="1">(SUM(D32+D35+D38+D41+D42+D45+D48))*1.22</f>
        <v>37.87906136986301</v>
      </c>
      <c r="E52" s="38">
        <f t="shared" si="11"/>
        <v>38399</v>
      </c>
      <c r="F52" s="9">
        <v>0.77083333333333337</v>
      </c>
      <c r="G52" s="8">
        <v>20724</v>
      </c>
      <c r="H52" s="75">
        <f t="shared" si="8"/>
        <v>1</v>
      </c>
      <c r="I52" s="41">
        <f t="shared" si="12"/>
        <v>38427</v>
      </c>
      <c r="J52" s="11">
        <v>0.77083333333333337</v>
      </c>
      <c r="K52" s="10"/>
      <c r="L52" s="30" t="str">
        <f t="shared" si="9"/>
        <v/>
      </c>
      <c r="M52" s="43">
        <f t="shared" si="13"/>
        <v>38458</v>
      </c>
      <c r="N52" s="13" t="s">
        <v>290</v>
      </c>
      <c r="O52" s="12"/>
      <c r="P52" s="23" t="str">
        <f t="shared" si="10"/>
        <v/>
      </c>
      <c r="R52" s="72"/>
    </row>
    <row r="53" spans="1:18" x14ac:dyDescent="0.2">
      <c r="A53" s="1"/>
      <c r="B53" s="2"/>
      <c r="C53" s="3"/>
      <c r="D53" s="3"/>
      <c r="E53" s="38">
        <f t="shared" si="11"/>
        <v>38400</v>
      </c>
      <c r="F53" s="9">
        <v>0.77083333333333337</v>
      </c>
      <c r="G53" s="8">
        <v>20726</v>
      </c>
      <c r="H53" s="75">
        <f t="shared" si="8"/>
        <v>2</v>
      </c>
      <c r="I53" s="41">
        <f t="shared" si="12"/>
        <v>38428</v>
      </c>
      <c r="J53" s="11">
        <v>0.77083333333333337</v>
      </c>
      <c r="K53" s="10"/>
      <c r="L53" s="30" t="str">
        <f t="shared" si="9"/>
        <v/>
      </c>
      <c r="M53" s="43">
        <f t="shared" si="13"/>
        <v>38459</v>
      </c>
      <c r="N53" s="13" t="s">
        <v>290</v>
      </c>
      <c r="O53" s="12"/>
      <c r="P53" s="23" t="str">
        <f t="shared" si="10"/>
        <v/>
      </c>
      <c r="R53" s="72"/>
    </row>
    <row r="54" spans="1:18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38401</v>
      </c>
      <c r="F54" s="9" t="s">
        <v>25</v>
      </c>
      <c r="G54" s="8">
        <v>20726</v>
      </c>
      <c r="H54" s="75">
        <f t="shared" si="8"/>
        <v>0</v>
      </c>
      <c r="I54" s="41">
        <f t="shared" si="12"/>
        <v>38429</v>
      </c>
      <c r="J54" s="11" t="s">
        <v>25</v>
      </c>
      <c r="K54" s="10"/>
      <c r="L54" s="30" t="str">
        <f t="shared" si="9"/>
        <v/>
      </c>
      <c r="M54" s="43">
        <f t="shared" si="13"/>
        <v>38460</v>
      </c>
      <c r="N54" s="13" t="s">
        <v>290</v>
      </c>
      <c r="O54" s="12"/>
      <c r="P54" s="23" t="str">
        <f t="shared" si="10"/>
        <v/>
      </c>
      <c r="R54" s="72"/>
    </row>
    <row r="55" spans="1:18" x14ac:dyDescent="0.2">
      <c r="A55" s="1" t="s">
        <v>299</v>
      </c>
      <c r="B55" s="26">
        <v>0.27385999999999999</v>
      </c>
      <c r="C55" s="65"/>
      <c r="D55" s="3"/>
      <c r="E55" s="38">
        <f t="shared" si="11"/>
        <v>38402</v>
      </c>
      <c r="F55" s="9" t="s">
        <v>26</v>
      </c>
      <c r="G55" s="8">
        <v>20726</v>
      </c>
      <c r="H55" s="75">
        <f t="shared" si="8"/>
        <v>0</v>
      </c>
      <c r="I55" s="41">
        <f t="shared" si="12"/>
        <v>38430</v>
      </c>
      <c r="J55" s="11" t="s">
        <v>26</v>
      </c>
      <c r="K55" s="10"/>
      <c r="L55" s="30" t="str">
        <f t="shared" si="9"/>
        <v/>
      </c>
      <c r="M55" s="43">
        <f t="shared" si="13"/>
        <v>38461</v>
      </c>
      <c r="N55" s="13" t="s">
        <v>290</v>
      </c>
      <c r="O55" s="12"/>
      <c r="P55" s="23" t="str">
        <f t="shared" si="10"/>
        <v/>
      </c>
      <c r="R55" s="72"/>
    </row>
    <row r="56" spans="1:18" x14ac:dyDescent="0.2">
      <c r="A56" s="1" t="s">
        <v>300</v>
      </c>
      <c r="B56" s="26">
        <v>0.27385999999999999</v>
      </c>
      <c r="C56" s="65"/>
      <c r="D56" s="3"/>
      <c r="E56" s="38">
        <f t="shared" si="11"/>
        <v>38403</v>
      </c>
      <c r="F56" s="9">
        <v>0.77083333333333337</v>
      </c>
      <c r="G56" s="8">
        <v>20726</v>
      </c>
      <c r="H56" s="75">
        <f t="shared" si="8"/>
        <v>0</v>
      </c>
      <c r="I56" s="41">
        <f t="shared" si="12"/>
        <v>38431</v>
      </c>
      <c r="J56" s="11">
        <v>0.77083333333333337</v>
      </c>
      <c r="K56" s="10"/>
      <c r="L56" s="30" t="str">
        <f t="shared" si="9"/>
        <v/>
      </c>
      <c r="M56" s="43">
        <f t="shared" si="13"/>
        <v>38462</v>
      </c>
      <c r="N56" s="13" t="s">
        <v>290</v>
      </c>
      <c r="O56" s="12"/>
      <c r="P56" s="23" t="str">
        <f t="shared" si="10"/>
        <v/>
      </c>
      <c r="R56" s="72"/>
    </row>
    <row r="57" spans="1:18" x14ac:dyDescent="0.2">
      <c r="A57" s="1"/>
      <c r="B57" s="2"/>
      <c r="C57" s="3"/>
      <c r="D57" s="3"/>
      <c r="E57" s="38">
        <f t="shared" si="11"/>
        <v>38404</v>
      </c>
      <c r="F57" s="9">
        <v>0.77083333333333337</v>
      </c>
      <c r="G57" s="8">
        <v>20726</v>
      </c>
      <c r="H57" s="75">
        <f t="shared" si="8"/>
        <v>0</v>
      </c>
      <c r="I57" s="41">
        <f t="shared" si="12"/>
        <v>38432</v>
      </c>
      <c r="J57" s="11">
        <v>0.77083333333333337</v>
      </c>
      <c r="K57" s="10"/>
      <c r="L57" s="30" t="str">
        <f t="shared" si="9"/>
        <v/>
      </c>
      <c r="M57" s="43">
        <f t="shared" si="13"/>
        <v>38463</v>
      </c>
      <c r="N57" s="13" t="s">
        <v>290</v>
      </c>
      <c r="O57" s="12"/>
      <c r="P57" s="23" t="str">
        <f t="shared" si="10"/>
        <v/>
      </c>
      <c r="R57" s="72"/>
    </row>
    <row r="58" spans="1:18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38405</v>
      </c>
      <c r="F58" s="9">
        <v>0.77083333333333337</v>
      </c>
      <c r="G58" s="8">
        <v>20726</v>
      </c>
      <c r="H58" s="75">
        <f t="shared" si="8"/>
        <v>0</v>
      </c>
      <c r="I58" s="41">
        <f t="shared" si="12"/>
        <v>38433</v>
      </c>
      <c r="J58" s="11">
        <v>0.77083333333333337</v>
      </c>
      <c r="K58" s="10"/>
      <c r="L58" s="30" t="str">
        <f t="shared" si="9"/>
        <v/>
      </c>
      <c r="M58" s="43">
        <f t="shared" si="13"/>
        <v>38464</v>
      </c>
      <c r="N58" s="13" t="s">
        <v>290</v>
      </c>
      <c r="O58" s="12"/>
      <c r="P58" s="23" t="str">
        <f t="shared" si="10"/>
        <v/>
      </c>
      <c r="R58" s="72"/>
    </row>
    <row r="59" spans="1:18" x14ac:dyDescent="0.2">
      <c r="A59" s="1" t="s">
        <v>304</v>
      </c>
      <c r="B59" s="26">
        <v>0.17499999999999999</v>
      </c>
      <c r="C59" s="3"/>
      <c r="D59" s="3"/>
      <c r="E59" s="38">
        <f t="shared" si="11"/>
        <v>38406</v>
      </c>
      <c r="F59" s="9">
        <v>0.77083333333333337</v>
      </c>
      <c r="G59" s="8">
        <v>20726</v>
      </c>
      <c r="H59" s="75">
        <f t="shared" si="8"/>
        <v>0</v>
      </c>
      <c r="I59" s="41">
        <f t="shared" si="12"/>
        <v>38434</v>
      </c>
      <c r="J59" s="11">
        <v>0.77083333333333337</v>
      </c>
      <c r="K59" s="10"/>
      <c r="L59" s="30" t="str">
        <f t="shared" si="9"/>
        <v/>
      </c>
      <c r="M59" s="43">
        <f t="shared" si="13"/>
        <v>38465</v>
      </c>
      <c r="N59" s="13" t="s">
        <v>290</v>
      </c>
      <c r="O59" s="12"/>
      <c r="P59" s="23" t="str">
        <f t="shared" si="10"/>
        <v/>
      </c>
      <c r="R59" s="72"/>
    </row>
    <row r="60" spans="1:18" x14ac:dyDescent="0.2">
      <c r="A60" s="1" t="s">
        <v>305</v>
      </c>
      <c r="B60" s="26">
        <v>0.17</v>
      </c>
      <c r="C60" s="3"/>
      <c r="D60" s="3"/>
      <c r="E60" s="38">
        <f t="shared" si="11"/>
        <v>38407</v>
      </c>
      <c r="F60" s="9">
        <v>0.77083333333333337</v>
      </c>
      <c r="G60" s="8">
        <v>20731</v>
      </c>
      <c r="H60" s="75">
        <f t="shared" si="8"/>
        <v>5</v>
      </c>
      <c r="I60" s="41">
        <f t="shared" si="12"/>
        <v>38435</v>
      </c>
      <c r="J60" s="11">
        <v>0.77083333333333337</v>
      </c>
      <c r="K60" s="10"/>
      <c r="L60" s="30" t="str">
        <f t="shared" si="9"/>
        <v/>
      </c>
      <c r="M60" s="43">
        <f t="shared" si="13"/>
        <v>38466</v>
      </c>
      <c r="N60" s="13" t="s">
        <v>290</v>
      </c>
      <c r="O60" s="12"/>
      <c r="P60" s="23" t="str">
        <f t="shared" si="10"/>
        <v/>
      </c>
      <c r="R60" s="72"/>
    </row>
    <row r="61" spans="1:18" x14ac:dyDescent="0.2">
      <c r="A61" s="1"/>
      <c r="B61" s="2"/>
      <c r="C61" s="3"/>
      <c r="D61" s="3"/>
      <c r="E61" s="38">
        <f t="shared" si="11"/>
        <v>38408</v>
      </c>
      <c r="F61" s="9" t="s">
        <v>25</v>
      </c>
      <c r="G61" s="8">
        <v>20731</v>
      </c>
      <c r="H61" s="75">
        <f t="shared" si="8"/>
        <v>0</v>
      </c>
      <c r="I61" s="41">
        <f t="shared" si="12"/>
        <v>38436</v>
      </c>
      <c r="J61" s="11" t="s">
        <v>25</v>
      </c>
      <c r="K61" s="10"/>
      <c r="L61" s="30" t="str">
        <f t="shared" si="9"/>
        <v/>
      </c>
      <c r="M61" s="43">
        <f t="shared" si="13"/>
        <v>38467</v>
      </c>
      <c r="N61" s="13" t="s">
        <v>290</v>
      </c>
      <c r="O61" s="12"/>
      <c r="P61" s="23" t="str">
        <f t="shared" si="10"/>
        <v/>
      </c>
      <c r="R61" s="72"/>
    </row>
    <row r="62" spans="1:18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38409</v>
      </c>
      <c r="F62" s="9" t="s">
        <v>26</v>
      </c>
      <c r="G62" s="8">
        <v>20731</v>
      </c>
      <c r="H62" s="75">
        <f>IF(AND(H61&lt;&gt;"",G62&lt;&gt;""),G62-G61,"")</f>
        <v>0</v>
      </c>
      <c r="I62" s="41">
        <v>38802</v>
      </c>
      <c r="J62" s="11" t="s">
        <v>26</v>
      </c>
      <c r="K62" s="10"/>
      <c r="L62" s="30" t="str">
        <f t="shared" si="9"/>
        <v/>
      </c>
      <c r="M62" s="43">
        <f t="shared" si="13"/>
        <v>38468</v>
      </c>
      <c r="N62" s="13" t="s">
        <v>290</v>
      </c>
      <c r="O62" s="12"/>
      <c r="P62" s="23" t="str">
        <f t="shared" si="10"/>
        <v/>
      </c>
      <c r="R62" s="72"/>
    </row>
    <row r="63" spans="1:18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38410</v>
      </c>
      <c r="F63" s="9">
        <v>0.77083333333333337</v>
      </c>
      <c r="G63" s="8">
        <v>20731</v>
      </c>
      <c r="H63" s="75">
        <f>IF(AND(H62&lt;&gt;"",G63&lt;&gt;""),G63-G62,"")</f>
        <v>0</v>
      </c>
      <c r="I63" s="41">
        <v>38803</v>
      </c>
      <c r="J63" s="11">
        <v>0.77083333333333337</v>
      </c>
      <c r="K63" s="10"/>
      <c r="L63" s="30" t="str">
        <f t="shared" si="9"/>
        <v/>
      </c>
      <c r="M63" s="43">
        <f t="shared" si="13"/>
        <v>38469</v>
      </c>
      <c r="N63" s="13" t="s">
        <v>290</v>
      </c>
      <c r="O63" s="12"/>
      <c r="P63" s="23" t="str">
        <f t="shared" si="10"/>
        <v/>
      </c>
      <c r="R63" s="72"/>
    </row>
    <row r="64" spans="1:18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38411</v>
      </c>
      <c r="F64" s="9">
        <v>0.77083333333333337</v>
      </c>
      <c r="G64" s="8">
        <v>20734</v>
      </c>
      <c r="H64" s="75">
        <f>IF(AND(H63&lt;&gt;"",G64&lt;&gt;""),G64-G63,"")</f>
        <v>3</v>
      </c>
      <c r="I64" s="41">
        <v>38804</v>
      </c>
      <c r="J64" s="11">
        <v>0.77083333333333337</v>
      </c>
      <c r="K64" s="10"/>
      <c r="L64" s="30" t="str">
        <f t="shared" si="9"/>
        <v/>
      </c>
      <c r="M64" s="43">
        <f t="shared" si="13"/>
        <v>38470</v>
      </c>
      <c r="N64" s="13" t="s">
        <v>290</v>
      </c>
      <c r="O64" s="12"/>
      <c r="P64" s="23" t="str">
        <f t="shared" si="10"/>
        <v/>
      </c>
      <c r="R64" s="72"/>
    </row>
    <row r="65" spans="1:18" x14ac:dyDescent="0.2">
      <c r="A65" s="1" t="s">
        <v>91</v>
      </c>
      <c r="B65" s="26">
        <v>0</v>
      </c>
      <c r="C65" s="3" t="s">
        <v>86</v>
      </c>
      <c r="D65" s="3"/>
      <c r="E65" s="38"/>
      <c r="F65" s="9"/>
      <c r="G65" s="8"/>
      <c r="H65" s="75" t="str">
        <f>IF(AND(H64&lt;&gt;"",G65&lt;&gt;""),G65-G64,"")</f>
        <v/>
      </c>
      <c r="I65" s="41">
        <v>38805</v>
      </c>
      <c r="J65" s="11">
        <v>0.77083333333333337</v>
      </c>
      <c r="K65" s="10"/>
      <c r="L65" s="30" t="str">
        <f t="shared" si="9"/>
        <v/>
      </c>
      <c r="M65" s="43">
        <f t="shared" si="13"/>
        <v>38471</v>
      </c>
      <c r="N65" s="13" t="s">
        <v>290</v>
      </c>
      <c r="O65" s="12"/>
      <c r="P65" s="23" t="str">
        <f t="shared" si="10"/>
        <v/>
      </c>
      <c r="R65" s="72"/>
    </row>
    <row r="66" spans="1:18" x14ac:dyDescent="0.2">
      <c r="A66" s="1"/>
      <c r="B66" s="2"/>
      <c r="C66" s="3"/>
      <c r="D66" s="3"/>
      <c r="E66" s="38"/>
      <c r="F66" s="8"/>
      <c r="G66" s="8"/>
      <c r="H66" s="75" t="str">
        <f>IF(AND(H60&lt;&gt;"",G66&lt;&gt;""),G66-G60,"")</f>
        <v/>
      </c>
      <c r="I66" s="41">
        <v>38806</v>
      </c>
      <c r="J66" s="11">
        <v>0.77083333333333337</v>
      </c>
      <c r="K66" s="10"/>
      <c r="L66" s="30" t="str">
        <f t="shared" si="9"/>
        <v/>
      </c>
      <c r="M66" s="43">
        <f t="shared" si="13"/>
        <v>38472</v>
      </c>
      <c r="N66" s="13" t="s">
        <v>290</v>
      </c>
      <c r="O66" s="12"/>
      <c r="P66" s="23" t="str">
        <f t="shared" si="10"/>
        <v/>
      </c>
      <c r="R66" s="72"/>
    </row>
    <row r="67" spans="1:18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38807</v>
      </c>
      <c r="J67" s="11">
        <v>0.77083333333333337</v>
      </c>
      <c r="K67" s="10"/>
      <c r="L67" s="30" t="str">
        <f t="shared" si="9"/>
        <v/>
      </c>
      <c r="M67" s="43"/>
      <c r="N67" s="12"/>
      <c r="O67" s="12"/>
      <c r="P67" s="23" t="str">
        <f>IF(AND(P61&lt;&gt;"",O67&lt;&gt;""),O67-O61,"")</f>
        <v/>
      </c>
      <c r="R67" s="72"/>
    </row>
    <row r="68" spans="1:18" ht="13.5" thickBot="1" x14ac:dyDescent="0.25">
      <c r="A68" s="1" t="s">
        <v>194</v>
      </c>
      <c r="B68" s="102">
        <v>1.0213190000000001</v>
      </c>
      <c r="E68" s="39"/>
      <c r="F68" s="25"/>
      <c r="G68" s="16"/>
      <c r="H68" s="77" t="str">
        <f>IF(AND(H67&lt;&gt;"",G68&lt;&gt;""),G68-G67,"")</f>
        <v/>
      </c>
      <c r="I68" s="42"/>
      <c r="J68" s="28"/>
      <c r="K68" s="17"/>
      <c r="L68" s="31" t="str">
        <f t="shared" si="9"/>
        <v/>
      </c>
      <c r="M68" s="44"/>
      <c r="N68" s="18"/>
      <c r="O68" s="18"/>
      <c r="P68" s="24" t="str">
        <f>IF(AND(P67&lt;&gt;"",O68&lt;&gt;""),O68-O67,"")</f>
        <v/>
      </c>
      <c r="R68" s="72"/>
    </row>
    <row r="69" spans="1:18" ht="13.5" thickTop="1" x14ac:dyDescent="0.2">
      <c r="R69" s="72"/>
    </row>
    <row r="70" spans="1:18" x14ac:dyDescent="0.2">
      <c r="A70" s="72" t="s">
        <v>24</v>
      </c>
      <c r="B70" s="55">
        <f ca="1">B1</f>
        <v>104.51530896666762</v>
      </c>
    </row>
  </sheetData>
  <mergeCells count="6">
    <mergeCell ref="C9:D9"/>
    <mergeCell ref="C4:D4"/>
    <mergeCell ref="C5:D5"/>
    <mergeCell ref="C6:D6"/>
    <mergeCell ref="C7:D7"/>
    <mergeCell ref="C8:D8"/>
  </mergeCells>
  <conditionalFormatting sqref="P3">
    <cfRule type="cellIs" dxfId="128" priority="12" stopIfTrue="1" operator="lessThan">
      <formula>0</formula>
    </cfRule>
    <cfRule type="cellIs" dxfId="127" priority="13" stopIfTrue="1" operator="lessThan">
      <formula>0</formula>
    </cfRule>
  </conditionalFormatting>
  <conditionalFormatting sqref="L37">
    <cfRule type="cellIs" dxfId="126" priority="11" stopIfTrue="1" operator="lessThan">
      <formula>0</formula>
    </cfRule>
  </conditionalFormatting>
  <conditionalFormatting sqref="H37">
    <cfRule type="cellIs" dxfId="125" priority="10" stopIfTrue="1" operator="lessThan">
      <formula>0</formula>
    </cfRule>
  </conditionalFormatting>
  <conditionalFormatting sqref="P37">
    <cfRule type="cellIs" dxfId="124" priority="9" stopIfTrue="1" operator="lessThan">
      <formula>0</formula>
    </cfRule>
  </conditionalFormatting>
  <conditionalFormatting sqref="B28">
    <cfRule type="cellIs" dxfId="123" priority="8" stopIfTrue="1" operator="greaterThan">
      <formula>366</formula>
    </cfRule>
  </conditionalFormatting>
  <conditionalFormatting sqref="B43:B45 B30:B41">
    <cfRule type="cellIs" dxfId="122" priority="6" stopIfTrue="1" operator="greaterThan">
      <formula>366</formula>
    </cfRule>
    <cfRule type="cellIs" dxfId="121" priority="7" stopIfTrue="1" operator="greaterThan">
      <formula>40472</formula>
    </cfRule>
  </conditionalFormatting>
  <conditionalFormatting sqref="B1">
    <cfRule type="containsText" dxfId="120" priority="5" stopIfTrue="1" operator="containsText" text="#VALORE!">
      <formula>NOT(ISERROR(SEARCH("#VALORE!",B1)))</formula>
    </cfRule>
  </conditionalFormatting>
  <conditionalFormatting sqref="R8">
    <cfRule type="cellIs" dxfId="119" priority="4" operator="lessThan">
      <formula>0</formula>
    </cfRule>
  </conditionalFormatting>
  <conditionalFormatting sqref="R10">
    <cfRule type="cellIs" dxfId="118" priority="3" operator="lessThan">
      <formula>0</formula>
    </cfRule>
  </conditionalFormatting>
  <conditionalFormatting sqref="R12">
    <cfRule type="cellIs" dxfId="117" priority="2" operator="lessThan">
      <formula>0</formula>
    </cfRule>
  </conditionalFormatting>
  <conditionalFormatting sqref="R14">
    <cfRule type="cellIs" dxfId="1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H25" sqref="H25"/>
    </sheetView>
  </sheetViews>
  <sheetFormatPr defaultRowHeight="12.75" x14ac:dyDescent="0.2"/>
  <cols>
    <col min="1" max="1" width="25.140625" bestFit="1" customWidth="1"/>
    <col min="2" max="2" width="9" bestFit="1" customWidth="1"/>
    <col min="3" max="3" width="6.42578125" bestFit="1" customWidth="1"/>
    <col min="4" max="4" width="10.42578125" style="78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IF(D49="",D50,D49+D50)</f>
        <v>755.46615222000003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/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 t="s">
        <v>252</v>
      </c>
      <c r="B4" s="26">
        <v>72.150000000000006</v>
      </c>
      <c r="C4" s="3"/>
      <c r="D4" s="3"/>
      <c r="E4" s="38">
        <v>39387</v>
      </c>
      <c r="F4" s="9">
        <v>0.77083333333333337</v>
      </c>
      <c r="G4" s="8">
        <v>18088</v>
      </c>
      <c r="H4" s="76">
        <f>IF(G4-B17&lt;0,0,0)</f>
        <v>0</v>
      </c>
      <c r="I4" s="46">
        <v>38687</v>
      </c>
      <c r="J4" s="11" t="s">
        <v>26</v>
      </c>
      <c r="K4" s="10">
        <v>18113</v>
      </c>
      <c r="L4" s="30">
        <f>IF(AND(H35&lt;&gt;"",K4&lt;&gt;""),K4-K3,K4-MAX(G4:G35))</f>
        <v>0</v>
      </c>
      <c r="M4" s="43">
        <v>38353</v>
      </c>
      <c r="N4" s="13" t="s">
        <v>33</v>
      </c>
      <c r="O4" s="12">
        <v>18235</v>
      </c>
      <c r="P4" s="23">
        <f>IF(AND(L35&lt;&gt;"",O4&lt;&gt;""),O4-O3,O4-MAX(K4:K34))</f>
        <v>0</v>
      </c>
    </row>
    <row r="5" spans="1:16" x14ac:dyDescent="0.2">
      <c r="A5" s="1" t="s">
        <v>266</v>
      </c>
      <c r="B5" s="26">
        <v>0</v>
      </c>
      <c r="C5" s="131"/>
      <c r="D5" s="132"/>
      <c r="E5" s="38">
        <f>E4+1</f>
        <v>39388</v>
      </c>
      <c r="F5" s="9">
        <v>0.77083333333333337</v>
      </c>
      <c r="G5" s="8">
        <v>18088</v>
      </c>
      <c r="H5" s="75">
        <f t="shared" ref="H5:H35" si="0">IF(AND(H4&lt;&gt;"",G5&lt;&gt;""),G5-G4,"")</f>
        <v>0</v>
      </c>
      <c r="I5" s="41">
        <f>I4+1</f>
        <v>38688</v>
      </c>
      <c r="J5" s="11">
        <v>0.77083333333333337</v>
      </c>
      <c r="K5" s="10">
        <v>18120</v>
      </c>
      <c r="L5" s="30">
        <f>IF(AND(L4&lt;&gt;"",K5&lt;&gt;""),K5-K4,"")</f>
        <v>7</v>
      </c>
      <c r="M5" s="43">
        <f>M4+1</f>
        <v>38354</v>
      </c>
      <c r="N5" s="13">
        <v>0.77083333333333337</v>
      </c>
      <c r="O5" s="12">
        <v>18241</v>
      </c>
      <c r="P5" s="23">
        <f>IF(AND(P4&lt;&gt;"",O5&lt;&gt;""),O5-O4,"")</f>
        <v>6</v>
      </c>
    </row>
    <row r="6" spans="1:16" x14ac:dyDescent="0.2">
      <c r="A6" s="1" t="s">
        <v>267</v>
      </c>
      <c r="B6" s="26">
        <v>105.76</v>
      </c>
      <c r="C6" s="131"/>
      <c r="D6" s="132"/>
      <c r="E6" s="38">
        <f t="shared" ref="E6:E33" si="1">E5+1</f>
        <v>39389</v>
      </c>
      <c r="F6" s="9">
        <v>0.77083333333333337</v>
      </c>
      <c r="G6" s="8">
        <v>18088</v>
      </c>
      <c r="H6" s="75">
        <f t="shared" si="0"/>
        <v>0</v>
      </c>
      <c r="I6" s="41">
        <f t="shared" ref="I6:I29" si="2">I5+1</f>
        <v>38689</v>
      </c>
      <c r="J6" s="11">
        <v>0.77083333333333337</v>
      </c>
      <c r="K6" s="10">
        <v>18125</v>
      </c>
      <c r="L6" s="30">
        <f>IF(AND(L5&lt;&gt;"",K6&lt;&gt;""),K6-K5,"")</f>
        <v>5</v>
      </c>
      <c r="M6" s="43">
        <f t="shared" ref="M6:M29" si="3">M5+1</f>
        <v>38355</v>
      </c>
      <c r="N6" s="13">
        <v>0.77083333333333337</v>
      </c>
      <c r="O6" s="12">
        <v>18247</v>
      </c>
      <c r="P6" s="23">
        <f t="shared" ref="P6:P35" si="4">IF(AND(P5&lt;&gt;"",O6&lt;&gt;""),O6-O5,"")</f>
        <v>6</v>
      </c>
    </row>
    <row r="7" spans="1:16" x14ac:dyDescent="0.2">
      <c r="A7" s="1" t="s">
        <v>268</v>
      </c>
      <c r="B7" s="26">
        <v>141.05000000000001</v>
      </c>
      <c r="C7" s="131"/>
      <c r="D7" s="132"/>
      <c r="E7" s="38">
        <f t="shared" si="1"/>
        <v>39390</v>
      </c>
      <c r="F7" s="9">
        <v>0.77083333333333337</v>
      </c>
      <c r="G7" s="8">
        <v>18088</v>
      </c>
      <c r="H7" s="75">
        <f t="shared" si="0"/>
        <v>0</v>
      </c>
      <c r="I7" s="41">
        <f t="shared" si="2"/>
        <v>38690</v>
      </c>
      <c r="J7" s="11">
        <v>0.77083333333333337</v>
      </c>
      <c r="K7" s="10">
        <v>18129</v>
      </c>
      <c r="L7" s="30">
        <f>IF(AND(L6&lt;&gt;"",K7&lt;&gt;""),K7-K6,"")</f>
        <v>4</v>
      </c>
      <c r="M7" s="43">
        <f t="shared" si="3"/>
        <v>38356</v>
      </c>
      <c r="N7" s="13" t="s">
        <v>25</v>
      </c>
      <c r="O7" s="12">
        <v>18247</v>
      </c>
      <c r="P7" s="23">
        <f t="shared" si="4"/>
        <v>0</v>
      </c>
    </row>
    <row r="8" spans="1:16" x14ac:dyDescent="0.2">
      <c r="A8" s="1" t="s">
        <v>269</v>
      </c>
      <c r="B8" s="26">
        <v>90.78</v>
      </c>
      <c r="C8" s="133"/>
      <c r="D8" s="133"/>
      <c r="E8" s="38">
        <f t="shared" si="1"/>
        <v>39391</v>
      </c>
      <c r="F8" s="9">
        <v>0.77083333333333337</v>
      </c>
      <c r="G8" s="8">
        <v>18088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18134</v>
      </c>
      <c r="L8" s="30">
        <f>IF(AND(L7&lt;&gt;"",K8&lt;&gt;""),K8-K7,"")</f>
        <v>5</v>
      </c>
      <c r="M8" s="43">
        <f t="shared" si="3"/>
        <v>38357</v>
      </c>
      <c r="N8" s="13" t="s">
        <v>26</v>
      </c>
      <c r="O8" s="12">
        <v>18247</v>
      </c>
      <c r="P8" s="23">
        <f t="shared" si="4"/>
        <v>0</v>
      </c>
    </row>
    <row r="9" spans="1:16" x14ac:dyDescent="0.2">
      <c r="A9" s="1" t="s">
        <v>282</v>
      </c>
      <c r="B9" s="26">
        <v>17.72</v>
      </c>
      <c r="E9" s="38">
        <f t="shared" si="1"/>
        <v>39392</v>
      </c>
      <c r="F9" s="9">
        <v>0.77083333333333337</v>
      </c>
      <c r="G9" s="8">
        <v>18088</v>
      </c>
      <c r="H9" s="75">
        <f t="shared" si="0"/>
        <v>0</v>
      </c>
      <c r="I9" s="41">
        <f t="shared" si="2"/>
        <v>38692</v>
      </c>
      <c r="J9" s="11">
        <v>0.77083333333333337</v>
      </c>
      <c r="K9" s="10">
        <v>18138</v>
      </c>
      <c r="L9" s="30">
        <f>IF(AND(L8&lt;&gt;"",K9&lt;&gt;""),K9-K8,"")</f>
        <v>4</v>
      </c>
      <c r="M9" s="43">
        <f t="shared" si="3"/>
        <v>38358</v>
      </c>
      <c r="N9" s="13" t="s">
        <v>83</v>
      </c>
      <c r="O9" s="12">
        <v>18247</v>
      </c>
      <c r="P9" s="23">
        <f t="shared" si="4"/>
        <v>0</v>
      </c>
    </row>
    <row r="10" spans="1:16" x14ac:dyDescent="0.2">
      <c r="E10" s="38">
        <f t="shared" si="1"/>
        <v>39393</v>
      </c>
      <c r="F10" s="9">
        <v>0.77083333333333337</v>
      </c>
      <c r="G10" s="8">
        <v>18088</v>
      </c>
      <c r="H10" s="75">
        <f t="shared" si="0"/>
        <v>0</v>
      </c>
      <c r="I10" s="41">
        <f t="shared" si="2"/>
        <v>38693</v>
      </c>
      <c r="J10" s="11" t="s">
        <v>25</v>
      </c>
      <c r="K10" s="10">
        <v>18138</v>
      </c>
      <c r="L10" s="30">
        <f t="shared" ref="L10:L35" si="5">IF(AND(L9&lt;&gt;"",K10&lt;&gt;""),K10-K9,"")</f>
        <v>0</v>
      </c>
      <c r="M10" s="43">
        <f t="shared" si="3"/>
        <v>38359</v>
      </c>
      <c r="N10" s="13">
        <v>0.77083333333333337</v>
      </c>
      <c r="O10" s="12">
        <v>18261</v>
      </c>
      <c r="P10" s="23">
        <f t="shared" si="4"/>
        <v>14</v>
      </c>
    </row>
    <row r="11" spans="1:16" x14ac:dyDescent="0.2">
      <c r="E11" s="38">
        <f t="shared" si="1"/>
        <v>39394</v>
      </c>
      <c r="F11" s="9" t="s">
        <v>25</v>
      </c>
      <c r="G11" s="8">
        <v>18088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18138</v>
      </c>
      <c r="L11" s="30">
        <f t="shared" si="5"/>
        <v>0</v>
      </c>
      <c r="M11" s="43">
        <f t="shared" si="3"/>
        <v>38360</v>
      </c>
      <c r="N11" s="13">
        <v>0.77083333333333337</v>
      </c>
      <c r="O11" s="12">
        <v>18265</v>
      </c>
      <c r="P11" s="23">
        <f t="shared" si="4"/>
        <v>4</v>
      </c>
    </row>
    <row r="12" spans="1:16" x14ac:dyDescent="0.2">
      <c r="A12" s="63" t="s">
        <v>255</v>
      </c>
      <c r="B12" s="64">
        <f>SUM(B4:B10)</f>
        <v>427.46000000000004</v>
      </c>
      <c r="C12" s="3"/>
      <c r="D12" s="3"/>
      <c r="E12" s="38">
        <f t="shared" si="1"/>
        <v>39395</v>
      </c>
      <c r="F12" s="9" t="s">
        <v>26</v>
      </c>
      <c r="G12" s="8">
        <v>18088</v>
      </c>
      <c r="H12" s="75">
        <f t="shared" si="0"/>
        <v>0</v>
      </c>
      <c r="I12" s="41">
        <f t="shared" si="2"/>
        <v>38695</v>
      </c>
      <c r="J12" s="11">
        <v>0.77083333333333337</v>
      </c>
      <c r="K12" s="10">
        <v>18147</v>
      </c>
      <c r="L12" s="30">
        <f t="shared" si="5"/>
        <v>9</v>
      </c>
      <c r="M12" s="43">
        <f t="shared" si="3"/>
        <v>38361</v>
      </c>
      <c r="N12" s="13">
        <v>0.77083333333333337</v>
      </c>
      <c r="O12" s="12">
        <v>18268</v>
      </c>
      <c r="P12" s="23">
        <f t="shared" si="4"/>
        <v>3</v>
      </c>
    </row>
    <row r="13" spans="1:16" x14ac:dyDescent="0.2">
      <c r="A13" s="1" t="s">
        <v>256</v>
      </c>
      <c r="B13" s="27">
        <f>(MAX(G3:G33,K4:K34,O4:O34,G38:G65,K38:K68,O38:O67)-MIN(G4,G35))</f>
        <v>422</v>
      </c>
      <c r="C13" s="3"/>
      <c r="D13" s="3"/>
      <c r="E13" s="38">
        <f t="shared" si="1"/>
        <v>39396</v>
      </c>
      <c r="F13" s="9">
        <v>0.77083333333333337</v>
      </c>
      <c r="G13" s="8">
        <v>18088</v>
      </c>
      <c r="H13" s="75">
        <f t="shared" si="0"/>
        <v>0</v>
      </c>
      <c r="I13" s="41">
        <f t="shared" si="2"/>
        <v>38696</v>
      </c>
      <c r="J13" s="11">
        <v>0.77083333333333337</v>
      </c>
      <c r="K13" s="10">
        <v>18152</v>
      </c>
      <c r="L13" s="30">
        <f t="shared" si="5"/>
        <v>5</v>
      </c>
      <c r="M13" s="43">
        <f t="shared" si="3"/>
        <v>38362</v>
      </c>
      <c r="N13" s="13">
        <v>0.77083333333333337</v>
      </c>
      <c r="O13" s="12">
        <v>18272</v>
      </c>
      <c r="P13" s="23">
        <f>IF(AND(P12&lt;&gt;"",O13&lt;&gt;""),O13-O12,"")</f>
        <v>4</v>
      </c>
    </row>
    <row r="14" spans="1:16" x14ac:dyDescent="0.2">
      <c r="A14" s="1" t="s">
        <v>241</v>
      </c>
      <c r="B14" s="2">
        <f>(MAX(G4:G33,K4:K34)-'1213'!O4)*B66</f>
        <v>568.874683</v>
      </c>
      <c r="C14" s="116"/>
      <c r="D14" s="117"/>
      <c r="E14" s="38">
        <f t="shared" si="1"/>
        <v>39397</v>
      </c>
      <c r="F14" s="9">
        <v>0.77083333333333337</v>
      </c>
      <c r="G14" s="8">
        <v>18088</v>
      </c>
      <c r="H14" s="75">
        <f t="shared" si="0"/>
        <v>0</v>
      </c>
      <c r="I14" s="41">
        <f t="shared" si="2"/>
        <v>38697</v>
      </c>
      <c r="J14" s="11">
        <v>0.77083333333333337</v>
      </c>
      <c r="K14" s="10">
        <v>18158</v>
      </c>
      <c r="L14" s="30">
        <f t="shared" si="5"/>
        <v>6</v>
      </c>
      <c r="M14" s="43">
        <f t="shared" si="3"/>
        <v>38363</v>
      </c>
      <c r="N14" s="13" t="s">
        <v>25</v>
      </c>
      <c r="O14" s="12">
        <v>18272</v>
      </c>
      <c r="P14" s="23">
        <f t="shared" si="4"/>
        <v>0</v>
      </c>
    </row>
    <row r="15" spans="1:16" x14ac:dyDescent="0.2">
      <c r="A15" s="1" t="s">
        <v>257</v>
      </c>
      <c r="B15" s="2">
        <f>IF(O4="",0,((MAX(O4:O34,G38:G68,K38:K68,O38:O68))-K34)*B66)</f>
        <v>280.86272500000001</v>
      </c>
      <c r="C15" s="3"/>
      <c r="D15" s="3"/>
      <c r="E15" s="38">
        <f t="shared" si="1"/>
        <v>39398</v>
      </c>
      <c r="F15" s="9">
        <v>0.77083333333333337</v>
      </c>
      <c r="G15" s="8">
        <v>18088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18163</v>
      </c>
      <c r="L15" s="30">
        <f t="shared" si="5"/>
        <v>5</v>
      </c>
      <c r="M15" s="43">
        <f t="shared" si="3"/>
        <v>38364</v>
      </c>
      <c r="N15" s="13" t="s">
        <v>26</v>
      </c>
      <c r="O15" s="12">
        <v>18272</v>
      </c>
      <c r="P15" s="23">
        <f t="shared" si="4"/>
        <v>0</v>
      </c>
    </row>
    <row r="16" spans="1:16" ht="13.5" thickBot="1" x14ac:dyDescent="0.25">
      <c r="C16" s="3"/>
      <c r="D16" s="3"/>
      <c r="E16" s="38">
        <f t="shared" si="1"/>
        <v>39399</v>
      </c>
      <c r="F16" s="9">
        <v>0.77083333333333337</v>
      </c>
      <c r="G16" s="8">
        <v>18088</v>
      </c>
      <c r="H16" s="75">
        <f t="shared" si="0"/>
        <v>0</v>
      </c>
      <c r="I16" s="41">
        <f t="shared" si="2"/>
        <v>38699</v>
      </c>
      <c r="J16" s="11">
        <v>0.77083333333333337</v>
      </c>
      <c r="K16" s="10">
        <v>18169</v>
      </c>
      <c r="L16" s="30">
        <f t="shared" si="5"/>
        <v>6</v>
      </c>
      <c r="M16" s="43">
        <f t="shared" si="3"/>
        <v>38365</v>
      </c>
      <c r="N16" s="13">
        <v>0.77083333333333337</v>
      </c>
      <c r="O16" s="12">
        <v>18278</v>
      </c>
      <c r="P16" s="23">
        <f t="shared" si="4"/>
        <v>6</v>
      </c>
    </row>
    <row r="17" spans="1:16" ht="14.25" thickTop="1" thickBot="1" x14ac:dyDescent="0.25">
      <c r="A17" s="1" t="s">
        <v>58</v>
      </c>
      <c r="B17" s="2">
        <v>18510</v>
      </c>
      <c r="C17" s="106"/>
      <c r="D17" s="105">
        <v>41759</v>
      </c>
      <c r="E17" s="38">
        <f t="shared" si="1"/>
        <v>39400</v>
      </c>
      <c r="F17" s="9">
        <v>0.77083333333333337</v>
      </c>
      <c r="G17" s="8">
        <v>18089</v>
      </c>
      <c r="H17" s="75">
        <f t="shared" si="0"/>
        <v>1</v>
      </c>
      <c r="I17" s="41">
        <f t="shared" si="2"/>
        <v>38700</v>
      </c>
      <c r="J17" s="11" t="s">
        <v>25</v>
      </c>
      <c r="K17" s="10">
        <v>18169</v>
      </c>
      <c r="L17" s="30">
        <f t="shared" si="5"/>
        <v>0</v>
      </c>
      <c r="M17" s="43">
        <f t="shared" si="3"/>
        <v>38366</v>
      </c>
      <c r="N17" s="13">
        <v>0.77083333333333337</v>
      </c>
      <c r="O17" s="12">
        <v>18283</v>
      </c>
      <c r="P17" s="23">
        <f t="shared" si="4"/>
        <v>5</v>
      </c>
    </row>
    <row r="18" spans="1:16" ht="13.5" thickTop="1" x14ac:dyDescent="0.2">
      <c r="A18" s="1" t="s">
        <v>232</v>
      </c>
      <c r="B18" s="2">
        <f>(B17-('1213'!O4))*B66</f>
        <v>849.73740800000007</v>
      </c>
      <c r="C18" s="116"/>
      <c r="D18" s="116"/>
      <c r="E18" s="38">
        <f t="shared" si="1"/>
        <v>39401</v>
      </c>
      <c r="F18" s="9" t="s">
        <v>25</v>
      </c>
      <c r="G18" s="8">
        <v>18089</v>
      </c>
      <c r="H18" s="75">
        <f t="shared" si="0"/>
        <v>0</v>
      </c>
      <c r="I18" s="41">
        <f t="shared" si="2"/>
        <v>38701</v>
      </c>
      <c r="J18" s="11" t="s">
        <v>26</v>
      </c>
      <c r="K18" s="10">
        <v>18169</v>
      </c>
      <c r="L18" s="30">
        <f t="shared" si="5"/>
        <v>0</v>
      </c>
      <c r="M18" s="43">
        <f t="shared" si="3"/>
        <v>38367</v>
      </c>
      <c r="N18" s="13">
        <v>0.77083333333333337</v>
      </c>
      <c r="O18" s="12">
        <v>18288</v>
      </c>
      <c r="P18" s="23">
        <f t="shared" si="4"/>
        <v>5</v>
      </c>
    </row>
    <row r="19" spans="1:16" x14ac:dyDescent="0.2">
      <c r="A19" s="1" t="s">
        <v>258</v>
      </c>
      <c r="B19" s="2">
        <f>IF(OR(O4&gt;B17,O4=""),0,B17-K34)</f>
        <v>275</v>
      </c>
      <c r="C19" s="3"/>
      <c r="D19" s="3"/>
      <c r="E19" s="38">
        <f t="shared" si="1"/>
        <v>39402</v>
      </c>
      <c r="F19" s="9" t="s">
        <v>26</v>
      </c>
      <c r="G19" s="8">
        <v>18089</v>
      </c>
      <c r="H19" s="75">
        <f t="shared" si="0"/>
        <v>0</v>
      </c>
      <c r="I19" s="41">
        <f t="shared" si="2"/>
        <v>38702</v>
      </c>
      <c r="J19" s="11">
        <v>0.77083333333333337</v>
      </c>
      <c r="K19" s="10">
        <v>18178</v>
      </c>
      <c r="L19" s="30">
        <f t="shared" si="5"/>
        <v>9</v>
      </c>
      <c r="M19" s="43">
        <f t="shared" si="3"/>
        <v>38368</v>
      </c>
      <c r="N19" s="13">
        <v>0.77083333333333337</v>
      </c>
      <c r="O19" s="12">
        <v>18295</v>
      </c>
      <c r="P19" s="23">
        <f t="shared" si="4"/>
        <v>7</v>
      </c>
    </row>
    <row r="20" spans="1:16" x14ac:dyDescent="0.2">
      <c r="E20" s="38">
        <f t="shared" si="1"/>
        <v>39403</v>
      </c>
      <c r="F20" s="9">
        <v>0.77083333333333337</v>
      </c>
      <c r="G20" s="8">
        <v>18089</v>
      </c>
      <c r="H20" s="75">
        <f t="shared" si="0"/>
        <v>0</v>
      </c>
      <c r="I20" s="41">
        <f t="shared" si="2"/>
        <v>38703</v>
      </c>
      <c r="J20" s="11">
        <v>0.77083333333333337</v>
      </c>
      <c r="K20" s="10">
        <v>18184</v>
      </c>
      <c r="L20" s="30">
        <f t="shared" si="5"/>
        <v>6</v>
      </c>
      <c r="M20" s="43">
        <f t="shared" si="3"/>
        <v>38369</v>
      </c>
      <c r="N20" s="13">
        <v>0.75208333333333333</v>
      </c>
      <c r="O20" s="12">
        <v>18300</v>
      </c>
      <c r="P20" s="23">
        <f t="shared" si="4"/>
        <v>5</v>
      </c>
    </row>
    <row r="21" spans="1:16" x14ac:dyDescent="0.2">
      <c r="A21" s="1" t="s">
        <v>259</v>
      </c>
      <c r="B21" s="2">
        <f>IF(AND(B14&gt;480,B18&lt;480),480-B18,0)</f>
        <v>0</v>
      </c>
      <c r="C21" s="3"/>
      <c r="D21" s="3"/>
      <c r="E21" s="38">
        <f t="shared" si="1"/>
        <v>39404</v>
      </c>
      <c r="F21" s="9">
        <v>0.77083333333333337</v>
      </c>
      <c r="G21" s="8">
        <v>18089</v>
      </c>
      <c r="H21" s="75">
        <f t="shared" si="0"/>
        <v>0</v>
      </c>
      <c r="I21" s="41">
        <f t="shared" si="2"/>
        <v>38704</v>
      </c>
      <c r="J21" s="11">
        <v>0.77083333333333337</v>
      </c>
      <c r="K21" s="10">
        <v>18192</v>
      </c>
      <c r="L21" s="30">
        <f t="shared" si="5"/>
        <v>8</v>
      </c>
      <c r="M21" s="43">
        <f t="shared" si="3"/>
        <v>38370</v>
      </c>
      <c r="N21" s="13" t="s">
        <v>25</v>
      </c>
      <c r="O21" s="12">
        <v>18300</v>
      </c>
      <c r="P21" s="23">
        <f t="shared" si="4"/>
        <v>0</v>
      </c>
    </row>
    <row r="22" spans="1:16" x14ac:dyDescent="0.2">
      <c r="A22" s="1" t="s">
        <v>260</v>
      </c>
      <c r="B22" s="2">
        <f>IF(AND(B15&gt;0,B19=0),(K34-B17-B21)*B66,0)</f>
        <v>0</v>
      </c>
      <c r="C22" s="3"/>
      <c r="D22" s="3"/>
      <c r="E22" s="38">
        <f t="shared" si="1"/>
        <v>39405</v>
      </c>
      <c r="F22" s="9">
        <v>0.77083333333333337</v>
      </c>
      <c r="G22" s="8">
        <v>18089</v>
      </c>
      <c r="H22" s="75">
        <f t="shared" si="0"/>
        <v>0</v>
      </c>
      <c r="I22" s="41">
        <f t="shared" si="2"/>
        <v>38705</v>
      </c>
      <c r="J22" s="11">
        <v>0.77083333333333337</v>
      </c>
      <c r="K22" s="10">
        <v>18198</v>
      </c>
      <c r="L22" s="30">
        <f t="shared" si="5"/>
        <v>6</v>
      </c>
      <c r="M22" s="43">
        <f t="shared" si="3"/>
        <v>38371</v>
      </c>
      <c r="N22" s="13" t="s">
        <v>26</v>
      </c>
      <c r="O22" s="12">
        <v>18300</v>
      </c>
      <c r="P22" s="23">
        <f t="shared" si="4"/>
        <v>0</v>
      </c>
    </row>
    <row r="23" spans="1:16" x14ac:dyDescent="0.2">
      <c r="A23" s="1" t="s">
        <v>261</v>
      </c>
      <c r="B23" s="104">
        <f>IF(AND(B15&lt;120,B19&lt;120),B30,C23)</f>
        <v>0</v>
      </c>
      <c r="C23" s="104">
        <f>IF(AND(B15&gt;120,B15&gt;B19,B19*B66&gt;120),0,120-(B19*B66))</f>
        <v>0</v>
      </c>
      <c r="E23" s="38">
        <f t="shared" si="1"/>
        <v>39406</v>
      </c>
      <c r="F23" s="9">
        <v>0.77083333333333337</v>
      </c>
      <c r="G23" s="8">
        <v>18091</v>
      </c>
      <c r="H23" s="75">
        <f t="shared" si="0"/>
        <v>2</v>
      </c>
      <c r="I23" s="41">
        <f t="shared" si="2"/>
        <v>38706</v>
      </c>
      <c r="J23" s="11">
        <v>0.77083333333333337</v>
      </c>
      <c r="K23" s="10">
        <v>18204</v>
      </c>
      <c r="L23" s="30">
        <f t="shared" si="5"/>
        <v>6</v>
      </c>
      <c r="M23" s="43">
        <f t="shared" si="3"/>
        <v>38372</v>
      </c>
      <c r="N23" s="13">
        <v>0.77083333333333337</v>
      </c>
      <c r="O23" s="12">
        <v>18308</v>
      </c>
      <c r="P23" s="23">
        <f t="shared" si="4"/>
        <v>8</v>
      </c>
    </row>
    <row r="24" spans="1:16" x14ac:dyDescent="0.2">
      <c r="A24" s="1" t="s">
        <v>262</v>
      </c>
      <c r="B24" s="104">
        <f>IF(B15=0,0,B30)</f>
        <v>0</v>
      </c>
      <c r="E24" s="38">
        <f t="shared" si="1"/>
        <v>39407</v>
      </c>
      <c r="F24" s="9">
        <v>0.77083333333333337</v>
      </c>
      <c r="G24" s="8">
        <v>18091</v>
      </c>
      <c r="H24" s="75">
        <f t="shared" si="0"/>
        <v>0</v>
      </c>
      <c r="I24" s="41">
        <f t="shared" si="2"/>
        <v>38707</v>
      </c>
      <c r="J24" s="11" t="s">
        <v>25</v>
      </c>
      <c r="K24" s="10">
        <v>18204</v>
      </c>
      <c r="L24" s="30">
        <f t="shared" si="5"/>
        <v>0</v>
      </c>
      <c r="M24" s="43">
        <f t="shared" si="3"/>
        <v>38373</v>
      </c>
      <c r="N24" s="13">
        <v>0.77083333333333337</v>
      </c>
      <c r="O24" s="12">
        <v>18313</v>
      </c>
      <c r="P24" s="23">
        <f t="shared" si="4"/>
        <v>5</v>
      </c>
    </row>
    <row r="25" spans="1:16" x14ac:dyDescent="0.2">
      <c r="A25" s="1" t="s">
        <v>263</v>
      </c>
      <c r="B25" s="104">
        <f>IF(B44&gt;0,B30-B44-B46,B24)</f>
        <v>0</v>
      </c>
      <c r="E25" s="38">
        <f t="shared" si="1"/>
        <v>39408</v>
      </c>
      <c r="F25" s="9">
        <v>0.77083333333333337</v>
      </c>
      <c r="G25" s="8">
        <v>18094</v>
      </c>
      <c r="H25" s="75">
        <f t="shared" si="0"/>
        <v>3</v>
      </c>
      <c r="I25" s="41">
        <f t="shared" si="2"/>
        <v>38708</v>
      </c>
      <c r="J25" s="11" t="s">
        <v>26</v>
      </c>
      <c r="K25" s="10">
        <v>18204</v>
      </c>
      <c r="L25" s="30">
        <f t="shared" si="5"/>
        <v>0</v>
      </c>
      <c r="M25" s="43">
        <f t="shared" si="3"/>
        <v>38374</v>
      </c>
      <c r="N25" s="13">
        <v>0.77083333333333337</v>
      </c>
      <c r="O25" s="12">
        <v>18318</v>
      </c>
      <c r="P25" s="23">
        <f t="shared" si="4"/>
        <v>5</v>
      </c>
    </row>
    <row r="26" spans="1:16" x14ac:dyDescent="0.2">
      <c r="E26" s="38">
        <f t="shared" si="1"/>
        <v>39409</v>
      </c>
      <c r="F26" s="9" t="s">
        <v>25</v>
      </c>
      <c r="G26" s="8">
        <v>18094</v>
      </c>
      <c r="H26" s="75">
        <f t="shared" si="0"/>
        <v>0</v>
      </c>
      <c r="I26" s="41">
        <f t="shared" si="2"/>
        <v>38709</v>
      </c>
      <c r="J26" s="11">
        <v>0.77083333333333337</v>
      </c>
      <c r="K26" s="10">
        <v>18213</v>
      </c>
      <c r="L26" s="30">
        <f t="shared" si="5"/>
        <v>9</v>
      </c>
      <c r="M26" s="43">
        <f t="shared" si="3"/>
        <v>38375</v>
      </c>
      <c r="N26" s="13">
        <v>0.77083333333333337</v>
      </c>
      <c r="O26" s="12">
        <v>18322</v>
      </c>
      <c r="P26" s="23">
        <f t="shared" si="4"/>
        <v>4</v>
      </c>
    </row>
    <row r="27" spans="1:16" x14ac:dyDescent="0.2">
      <c r="A27" s="1" t="s">
        <v>253</v>
      </c>
      <c r="B27" s="66" t="s">
        <v>8</v>
      </c>
      <c r="C27" s="67" t="s">
        <v>5</v>
      </c>
      <c r="D27" s="67" t="s">
        <v>6</v>
      </c>
      <c r="E27" s="38">
        <f t="shared" si="1"/>
        <v>39410</v>
      </c>
      <c r="F27" s="9" t="s">
        <v>26</v>
      </c>
      <c r="G27" s="8">
        <v>18094</v>
      </c>
      <c r="H27" s="75">
        <f t="shared" si="0"/>
        <v>0</v>
      </c>
      <c r="I27" s="41">
        <f t="shared" si="2"/>
        <v>38710</v>
      </c>
      <c r="J27" s="11">
        <v>0.77083333333333337</v>
      </c>
      <c r="K27" s="10">
        <v>18217</v>
      </c>
      <c r="L27" s="30">
        <f t="shared" si="5"/>
        <v>4</v>
      </c>
      <c r="M27" s="43">
        <f t="shared" si="3"/>
        <v>38376</v>
      </c>
      <c r="N27" s="13">
        <v>0.77083333333333337</v>
      </c>
      <c r="O27" s="12">
        <v>18325</v>
      </c>
      <c r="P27" s="23">
        <f t="shared" si="4"/>
        <v>3</v>
      </c>
    </row>
    <row r="28" spans="1:16" x14ac:dyDescent="0.2">
      <c r="A28" s="5"/>
      <c r="B28" s="2"/>
      <c r="C28" s="3"/>
      <c r="D28" s="3"/>
      <c r="E28" s="38">
        <f t="shared" si="1"/>
        <v>39411</v>
      </c>
      <c r="F28" s="9">
        <v>0.77083333333333337</v>
      </c>
      <c r="G28" s="8">
        <v>18100</v>
      </c>
      <c r="H28" s="75">
        <f t="shared" si="0"/>
        <v>6</v>
      </c>
      <c r="I28" s="46">
        <f t="shared" si="2"/>
        <v>38711</v>
      </c>
      <c r="J28" s="52" t="s">
        <v>31</v>
      </c>
      <c r="K28" s="10">
        <v>18217</v>
      </c>
      <c r="L28" s="30">
        <f t="shared" si="5"/>
        <v>0</v>
      </c>
      <c r="M28" s="43">
        <f t="shared" si="3"/>
        <v>38377</v>
      </c>
      <c r="N28" s="13" t="s">
        <v>25</v>
      </c>
      <c r="O28" s="12">
        <v>18325</v>
      </c>
      <c r="P28" s="23">
        <f t="shared" si="4"/>
        <v>0</v>
      </c>
    </row>
    <row r="29" spans="1:16" x14ac:dyDescent="0.2">
      <c r="A29" s="1" t="s">
        <v>0</v>
      </c>
      <c r="B29" s="2">
        <f ca="1">SUM(TODAY()-D17)</f>
        <v>3261</v>
      </c>
      <c r="C29" s="3"/>
      <c r="D29" s="3"/>
      <c r="E29" s="38">
        <f t="shared" si="1"/>
        <v>39412</v>
      </c>
      <c r="F29" s="9">
        <v>0.77083333333333337</v>
      </c>
      <c r="G29" s="8">
        <v>18102</v>
      </c>
      <c r="H29" s="75">
        <f t="shared" si="0"/>
        <v>2</v>
      </c>
      <c r="I29" s="41">
        <f t="shared" si="2"/>
        <v>38712</v>
      </c>
      <c r="J29" s="51" t="s">
        <v>68</v>
      </c>
      <c r="K29" s="10">
        <v>18217</v>
      </c>
      <c r="L29" s="30">
        <f t="shared" si="5"/>
        <v>0</v>
      </c>
      <c r="M29" s="43">
        <f t="shared" si="3"/>
        <v>38378</v>
      </c>
      <c r="N29" s="13" t="s">
        <v>26</v>
      </c>
      <c r="O29" s="12">
        <v>18325</v>
      </c>
      <c r="P29" s="23">
        <f t="shared" si="4"/>
        <v>0</v>
      </c>
    </row>
    <row r="30" spans="1:16" x14ac:dyDescent="0.2">
      <c r="A30" s="1" t="s">
        <v>85</v>
      </c>
      <c r="B30" s="2">
        <f>(MAX(G4:G33, K5:K34,O5:O34, G38:G66, K38:K68, O38:O67)-B17)*B66</f>
        <v>0</v>
      </c>
      <c r="C30" s="3"/>
      <c r="D30" s="3"/>
      <c r="E30" s="38">
        <f t="shared" si="1"/>
        <v>39413</v>
      </c>
      <c r="F30" s="9">
        <v>0.77083333333333337</v>
      </c>
      <c r="G30" s="8">
        <v>18106</v>
      </c>
      <c r="H30" s="75">
        <f t="shared" si="0"/>
        <v>4</v>
      </c>
      <c r="I30" s="41">
        <f>I29+1</f>
        <v>38713</v>
      </c>
      <c r="J30" s="11">
        <v>0.77083333333333337</v>
      </c>
      <c r="K30" s="10">
        <v>18222</v>
      </c>
      <c r="L30" s="30">
        <f t="shared" si="5"/>
        <v>5</v>
      </c>
      <c r="M30" s="43">
        <f>M29+1</f>
        <v>38379</v>
      </c>
      <c r="N30" s="13">
        <v>0.77083333333333337</v>
      </c>
      <c r="O30" s="12">
        <v>18332</v>
      </c>
      <c r="P30" s="23">
        <f t="shared" si="4"/>
        <v>7</v>
      </c>
    </row>
    <row r="31" spans="1:16" x14ac:dyDescent="0.2">
      <c r="A31" s="1" t="s">
        <v>87</v>
      </c>
      <c r="B31" s="2">
        <f ca="1">B29</f>
        <v>3261</v>
      </c>
      <c r="C31" s="3">
        <v>0.15347</v>
      </c>
      <c r="D31" s="3">
        <f ca="1">(B31*C31)</f>
        <v>500.46566999999999</v>
      </c>
      <c r="E31" s="38">
        <f t="shared" si="1"/>
        <v>39414</v>
      </c>
      <c r="F31" s="9">
        <v>0.77083333333333337</v>
      </c>
      <c r="G31" s="8">
        <v>18109</v>
      </c>
      <c r="H31" s="75">
        <f t="shared" si="0"/>
        <v>3</v>
      </c>
      <c r="I31" s="41">
        <f>I30+1</f>
        <v>38714</v>
      </c>
      <c r="J31" s="11" t="s">
        <v>25</v>
      </c>
      <c r="K31" s="10">
        <v>18222</v>
      </c>
      <c r="L31" s="30">
        <f t="shared" si="5"/>
        <v>0</v>
      </c>
      <c r="M31" s="43">
        <f>M30+1</f>
        <v>38380</v>
      </c>
      <c r="N31" s="13">
        <v>0.77083333333333337</v>
      </c>
      <c r="O31" s="12">
        <v>18338</v>
      </c>
      <c r="P31" s="23">
        <f t="shared" si="4"/>
        <v>6</v>
      </c>
    </row>
    <row r="32" spans="1:16" x14ac:dyDescent="0.2">
      <c r="A32" s="1" t="s">
        <v>54</v>
      </c>
      <c r="B32" s="2">
        <f ca="1">B29</f>
        <v>3261</v>
      </c>
      <c r="C32" s="3">
        <v>0.110219</v>
      </c>
      <c r="D32" s="3">
        <f ca="1">(B32*C32)</f>
        <v>359.42415899999997</v>
      </c>
      <c r="E32" s="38">
        <f t="shared" si="1"/>
        <v>39415</v>
      </c>
      <c r="F32" s="9">
        <v>0.77083333333333337</v>
      </c>
      <c r="G32" s="8">
        <v>18113</v>
      </c>
      <c r="H32" s="75">
        <f t="shared" si="0"/>
        <v>4</v>
      </c>
      <c r="I32" s="41">
        <f>I31+1</f>
        <v>38715</v>
      </c>
      <c r="J32" s="11" t="s">
        <v>26</v>
      </c>
      <c r="K32" s="10">
        <v>18222</v>
      </c>
      <c r="L32" s="30">
        <f t="shared" si="5"/>
        <v>0</v>
      </c>
      <c r="M32" s="43">
        <f>M31+1</f>
        <v>38381</v>
      </c>
      <c r="N32" s="13">
        <v>0.77083333333333337</v>
      </c>
      <c r="O32" s="12">
        <v>18344</v>
      </c>
      <c r="P32" s="23">
        <f t="shared" si="4"/>
        <v>6</v>
      </c>
    </row>
    <row r="33" spans="1:16" x14ac:dyDescent="0.2">
      <c r="A33" s="1" t="s">
        <v>88</v>
      </c>
      <c r="B33" s="2">
        <f ca="1">B29</f>
        <v>3261</v>
      </c>
      <c r="C33" s="68">
        <v>-7.3798000000000002E-2</v>
      </c>
      <c r="D33" s="3">
        <f ca="1">(B33*C33)</f>
        <v>-240.65527800000001</v>
      </c>
      <c r="E33" s="38">
        <f t="shared" si="1"/>
        <v>39416</v>
      </c>
      <c r="F33" s="9" t="s">
        <v>25</v>
      </c>
      <c r="G33" s="8">
        <v>18113</v>
      </c>
      <c r="H33" s="75">
        <f t="shared" si="0"/>
        <v>0</v>
      </c>
      <c r="I33" s="41">
        <f>I32+1</f>
        <v>38716</v>
      </c>
      <c r="J33" s="11">
        <v>0.77083333333333337</v>
      </c>
      <c r="K33" s="10">
        <v>18229</v>
      </c>
      <c r="L33" s="30">
        <f t="shared" si="5"/>
        <v>7</v>
      </c>
      <c r="M33" s="43">
        <f>M32+1</f>
        <v>38382</v>
      </c>
      <c r="N33" s="13">
        <v>0.77083333333333337</v>
      </c>
      <c r="O33" s="12">
        <v>18351</v>
      </c>
      <c r="P33" s="23">
        <f t="shared" si="4"/>
        <v>7</v>
      </c>
    </row>
    <row r="34" spans="1:16" x14ac:dyDescent="0.2">
      <c r="A34" s="1" t="s">
        <v>92</v>
      </c>
      <c r="B34" s="69">
        <f ca="1">B29</f>
        <v>3261</v>
      </c>
      <c r="C34" s="68">
        <f>B63/365</f>
        <v>0</v>
      </c>
      <c r="D34" s="3">
        <f ca="1">(B34*C34)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>
        <v>0.77083333333333337</v>
      </c>
      <c r="K34" s="10">
        <v>18235</v>
      </c>
      <c r="L34" s="30">
        <f t="shared" si="5"/>
        <v>6</v>
      </c>
      <c r="M34" s="43">
        <f>M33+1</f>
        <v>38383</v>
      </c>
      <c r="N34" s="13">
        <v>0.77083333333333337</v>
      </c>
      <c r="O34" s="12">
        <v>18357</v>
      </c>
      <c r="P34" s="23">
        <f t="shared" si="4"/>
        <v>6</v>
      </c>
    </row>
    <row r="35" spans="1:16" ht="13.5" thickBot="1" x14ac:dyDescent="0.25">
      <c r="A35" s="1" t="s">
        <v>22</v>
      </c>
      <c r="B35" s="2">
        <f>B44</f>
        <v>0</v>
      </c>
      <c r="C35" s="3">
        <v>0</v>
      </c>
      <c r="D35" s="3">
        <f>B35*C35</f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106</v>
      </c>
      <c r="B36" s="69">
        <f>B35</f>
        <v>0</v>
      </c>
      <c r="C36" s="3">
        <v>0</v>
      </c>
      <c r="D36" s="3">
        <f>B36*C36</f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15</v>
      </c>
      <c r="B37" s="2">
        <f>IF(B15&gt;0,B47,B45)</f>
        <v>0</v>
      </c>
      <c r="C37" s="3">
        <v>5.9560000000000002E-2</v>
      </c>
      <c r="D37" s="3">
        <f>B37*C37</f>
        <v>0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98</v>
      </c>
      <c r="B38" s="2">
        <f>B37</f>
        <v>0</v>
      </c>
      <c r="C38" s="3">
        <f>0.0376+0.002474+0.00642+0.0001</f>
        <v>4.6594000000000003E-2</v>
      </c>
      <c r="D38" s="3">
        <f>B38*C38</f>
        <v>0</v>
      </c>
      <c r="E38" s="38">
        <v>38384</v>
      </c>
      <c r="F38" s="9" t="s">
        <v>25</v>
      </c>
      <c r="G38" s="8">
        <v>18357</v>
      </c>
      <c r="H38" s="75">
        <f>G38-O34</f>
        <v>0</v>
      </c>
      <c r="I38" s="46">
        <v>38412</v>
      </c>
      <c r="J38" s="11" t="s">
        <v>25</v>
      </c>
      <c r="K38" s="10">
        <v>18457</v>
      </c>
      <c r="L38" s="30">
        <f>IF(AND(H69&lt;&gt;"",K38&lt;&gt;""),K38-K37,K38-MAX(G38:G69))</f>
        <v>0</v>
      </c>
      <c r="M38" s="43">
        <v>38443</v>
      </c>
      <c r="N38" s="13">
        <v>0.77083333333333337</v>
      </c>
      <c r="O38" s="12">
        <v>18502</v>
      </c>
      <c r="P38" s="23">
        <f>IF(AND(L69&lt;&gt;"",O38&lt;&gt;""),O38-O37,O38-MAX(K38:K69))</f>
        <v>2</v>
      </c>
    </row>
    <row r="39" spans="1:16" x14ac:dyDescent="0.2">
      <c r="A39" s="1" t="s">
        <v>17</v>
      </c>
      <c r="B39" s="2">
        <f>B46</f>
        <v>0</v>
      </c>
      <c r="C39" s="3">
        <v>5.4514E-2</v>
      </c>
      <c r="D39" s="3">
        <f t="shared" ref="D39:D47" si="6">B39*C39</f>
        <v>0</v>
      </c>
      <c r="E39" s="38">
        <f>E38+1</f>
        <v>38385</v>
      </c>
      <c r="F39" s="9" t="s">
        <v>26</v>
      </c>
      <c r="G39" s="8">
        <v>18357</v>
      </c>
      <c r="H39" s="75">
        <f t="shared" ref="H39:H62" si="7">IF(AND(H38&lt;&gt;"",G39&lt;&gt;""),G39-G38,"")</f>
        <v>0</v>
      </c>
      <c r="I39" s="41">
        <f>I38+1</f>
        <v>38413</v>
      </c>
      <c r="J39" s="11" t="s">
        <v>26</v>
      </c>
      <c r="K39" s="10">
        <v>18457</v>
      </c>
      <c r="L39" s="30">
        <f t="shared" ref="L39:L69" si="8">IF(AND(L38&lt;&gt;"",K39&lt;&gt;""),K39-K38,"")</f>
        <v>0</v>
      </c>
      <c r="M39" s="43">
        <f>M38+1</f>
        <v>38444</v>
      </c>
      <c r="N39" s="13">
        <v>0.77083333333333337</v>
      </c>
      <c r="O39" s="12">
        <v>18503</v>
      </c>
      <c r="P39" s="23">
        <f t="shared" ref="P39:P67" si="9">IF(AND(P38&lt;&gt;"",O39&lt;&gt;""),O39-O38,"")</f>
        <v>1</v>
      </c>
    </row>
    <row r="40" spans="1:16" x14ac:dyDescent="0.2">
      <c r="A40" s="1" t="s">
        <v>99</v>
      </c>
      <c r="B40" s="2">
        <f>B39</f>
        <v>0</v>
      </c>
      <c r="C40" s="3">
        <f>0.0217+0.007+0.00098+0.00642</f>
        <v>3.61E-2</v>
      </c>
      <c r="D40" s="3">
        <f t="shared" si="6"/>
        <v>0</v>
      </c>
      <c r="E40" s="38">
        <f t="shared" ref="E40:E62" si="10">E39+1</f>
        <v>38386</v>
      </c>
      <c r="F40" s="9">
        <v>0.77083333333333337</v>
      </c>
      <c r="G40" s="8">
        <v>18366</v>
      </c>
      <c r="H40" s="75">
        <f t="shared" si="7"/>
        <v>9</v>
      </c>
      <c r="I40" s="41">
        <f t="shared" ref="I40:I62" si="11">I39+1</f>
        <v>38414</v>
      </c>
      <c r="J40" s="11">
        <v>0.77083333333333337</v>
      </c>
      <c r="K40" s="10">
        <v>18465</v>
      </c>
      <c r="L40" s="30">
        <f t="shared" si="8"/>
        <v>8</v>
      </c>
      <c r="M40" s="43">
        <f t="shared" ref="M40:M67" si="12">M39+1</f>
        <v>38445</v>
      </c>
      <c r="N40" s="13">
        <v>0.77083333333333337</v>
      </c>
      <c r="O40" s="12">
        <v>18504</v>
      </c>
      <c r="P40" s="23">
        <f t="shared" si="9"/>
        <v>1</v>
      </c>
    </row>
    <row r="41" spans="1:16" x14ac:dyDescent="0.2">
      <c r="A41" s="1" t="s">
        <v>93</v>
      </c>
      <c r="B41" s="2">
        <f>B44</f>
        <v>0</v>
      </c>
      <c r="C41" s="29">
        <f>B56</f>
        <v>4.3999999999999997E-2</v>
      </c>
      <c r="D41" s="3">
        <f t="shared" si="6"/>
        <v>0</v>
      </c>
      <c r="E41" s="38">
        <f t="shared" si="10"/>
        <v>38387</v>
      </c>
      <c r="F41" s="9">
        <v>0.77083333333333337</v>
      </c>
      <c r="G41" s="8">
        <v>18371</v>
      </c>
      <c r="H41" s="75">
        <f t="shared" si="7"/>
        <v>5</v>
      </c>
      <c r="I41" s="41">
        <f t="shared" si="11"/>
        <v>38415</v>
      </c>
      <c r="J41" s="11">
        <v>0.77083333333333337</v>
      </c>
      <c r="K41" s="10">
        <v>18469</v>
      </c>
      <c r="L41" s="30">
        <f t="shared" si="8"/>
        <v>4</v>
      </c>
      <c r="M41" s="43">
        <f t="shared" si="12"/>
        <v>38446</v>
      </c>
      <c r="N41" s="13">
        <v>0.77083333333333337</v>
      </c>
      <c r="O41" s="12">
        <v>18505</v>
      </c>
      <c r="P41" s="23">
        <f t="shared" si="9"/>
        <v>1</v>
      </c>
    </row>
    <row r="42" spans="1:16" x14ac:dyDescent="0.2">
      <c r="A42" s="1" t="s">
        <v>94</v>
      </c>
      <c r="B42" s="2">
        <f>B37</f>
        <v>0</v>
      </c>
      <c r="C42" s="3">
        <f>B57</f>
        <v>0.17499999999999999</v>
      </c>
      <c r="D42" s="3">
        <f t="shared" si="6"/>
        <v>0</v>
      </c>
      <c r="E42" s="38">
        <f t="shared" si="10"/>
        <v>38388</v>
      </c>
      <c r="F42" s="9">
        <v>0.77083333333333337</v>
      </c>
      <c r="G42" s="8">
        <v>18376</v>
      </c>
      <c r="H42" s="75">
        <f t="shared" si="7"/>
        <v>5</v>
      </c>
      <c r="I42" s="41">
        <f t="shared" si="11"/>
        <v>38416</v>
      </c>
      <c r="J42" s="11">
        <v>0.77083333333333337</v>
      </c>
      <c r="K42" s="10">
        <v>18471</v>
      </c>
      <c r="L42" s="30">
        <f t="shared" si="8"/>
        <v>2</v>
      </c>
      <c r="M42" s="43">
        <f t="shared" si="12"/>
        <v>38447</v>
      </c>
      <c r="N42" s="13" t="s">
        <v>25</v>
      </c>
      <c r="O42" s="12">
        <v>18505</v>
      </c>
      <c r="P42" s="23">
        <f t="shared" si="9"/>
        <v>0</v>
      </c>
    </row>
    <row r="43" spans="1:16" x14ac:dyDescent="0.2">
      <c r="A43" s="1" t="s">
        <v>95</v>
      </c>
      <c r="B43" s="2">
        <f>B46</f>
        <v>0</v>
      </c>
      <c r="C43" s="70">
        <f>B58</f>
        <v>0.17</v>
      </c>
      <c r="D43" s="3">
        <f t="shared" si="6"/>
        <v>0</v>
      </c>
      <c r="E43" s="38">
        <f t="shared" si="10"/>
        <v>38389</v>
      </c>
      <c r="F43" s="9">
        <v>0.77083333333333337</v>
      </c>
      <c r="G43" s="8">
        <v>18380</v>
      </c>
      <c r="H43" s="75">
        <f t="shared" si="7"/>
        <v>4</v>
      </c>
      <c r="I43" s="41">
        <f t="shared" si="11"/>
        <v>38417</v>
      </c>
      <c r="J43" s="11">
        <v>0.77083333333333337</v>
      </c>
      <c r="K43" s="10">
        <v>18473</v>
      </c>
      <c r="L43" s="30">
        <f t="shared" si="8"/>
        <v>2</v>
      </c>
      <c r="M43" s="43">
        <f t="shared" si="12"/>
        <v>38448</v>
      </c>
      <c r="N43" s="13" t="s">
        <v>26</v>
      </c>
      <c r="O43" s="12">
        <v>18505</v>
      </c>
      <c r="P43" s="23">
        <f t="shared" si="9"/>
        <v>0</v>
      </c>
    </row>
    <row r="44" spans="1:16" x14ac:dyDescent="0.2">
      <c r="A44" s="1" t="s">
        <v>23</v>
      </c>
      <c r="B44" s="2">
        <f>IF(AND(B15&lt;120,B19=0),B15,B23)</f>
        <v>0</v>
      </c>
      <c r="C44" s="3">
        <f>B52</f>
        <v>0.41996</v>
      </c>
      <c r="D44" s="3">
        <f t="shared" si="6"/>
        <v>0</v>
      </c>
      <c r="E44" s="38">
        <f t="shared" si="10"/>
        <v>38390</v>
      </c>
      <c r="F44" s="9">
        <v>0.77083333333333337</v>
      </c>
      <c r="G44" s="8">
        <v>18385</v>
      </c>
      <c r="H44" s="75">
        <f t="shared" si="7"/>
        <v>5</v>
      </c>
      <c r="I44" s="41">
        <f t="shared" si="11"/>
        <v>38418</v>
      </c>
      <c r="J44" s="11">
        <v>0.77083333333333337</v>
      </c>
      <c r="K44" s="10">
        <v>18475</v>
      </c>
      <c r="L44" s="30">
        <f t="shared" si="8"/>
        <v>2</v>
      </c>
      <c r="M44" s="43">
        <f t="shared" si="12"/>
        <v>38449</v>
      </c>
      <c r="N44" s="13">
        <v>0.77083333333333337</v>
      </c>
      <c r="O44" s="12">
        <v>18506</v>
      </c>
      <c r="P44" s="23">
        <f t="shared" si="9"/>
        <v>1</v>
      </c>
    </row>
    <row r="45" spans="1:16" x14ac:dyDescent="0.2">
      <c r="A45" s="1" t="s">
        <v>223</v>
      </c>
      <c r="B45" s="2">
        <f>IF(AND(G4=B17,B14&lt;480,B18&lt;480),B30,B21)</f>
        <v>0</v>
      </c>
      <c r="C45" s="3">
        <f>B53</f>
        <v>0.523725</v>
      </c>
      <c r="D45" s="3">
        <f t="shared" si="6"/>
        <v>0</v>
      </c>
      <c r="E45" s="38">
        <f t="shared" si="10"/>
        <v>38391</v>
      </c>
      <c r="F45" s="9" t="s">
        <v>25</v>
      </c>
      <c r="G45" s="8">
        <v>18385</v>
      </c>
      <c r="H45" s="75">
        <f t="shared" si="7"/>
        <v>0</v>
      </c>
      <c r="I45" s="41">
        <f t="shared" si="11"/>
        <v>38419</v>
      </c>
      <c r="J45" s="11" t="s">
        <v>25</v>
      </c>
      <c r="K45" s="10">
        <v>18475</v>
      </c>
      <c r="L45" s="30">
        <f t="shared" si="8"/>
        <v>0</v>
      </c>
      <c r="M45" s="43">
        <f t="shared" si="12"/>
        <v>38450</v>
      </c>
      <c r="N45" s="13">
        <v>0.77083333333333337</v>
      </c>
      <c r="O45" s="12">
        <v>18506</v>
      </c>
      <c r="P45" s="23">
        <f t="shared" si="9"/>
        <v>0</v>
      </c>
    </row>
    <row r="46" spans="1:16" x14ac:dyDescent="0.2">
      <c r="A46" s="1" t="s">
        <v>18</v>
      </c>
      <c r="B46" s="2">
        <f>IF(AND(B15=0,B14&gt;480),INT(B30-B45),B22)</f>
        <v>0</v>
      </c>
      <c r="C46" s="29">
        <f>B54</f>
        <v>0.50221899999999997</v>
      </c>
      <c r="D46" s="3">
        <f t="shared" si="6"/>
        <v>0</v>
      </c>
      <c r="E46" s="38">
        <f t="shared" si="10"/>
        <v>38392</v>
      </c>
      <c r="F46" s="9" t="s">
        <v>26</v>
      </c>
      <c r="G46" s="8">
        <v>18385</v>
      </c>
      <c r="H46" s="75">
        <f t="shared" si="7"/>
        <v>0</v>
      </c>
      <c r="I46" s="41">
        <f t="shared" si="11"/>
        <v>38420</v>
      </c>
      <c r="J46" s="11" t="s">
        <v>26</v>
      </c>
      <c r="K46" s="10">
        <v>18475</v>
      </c>
      <c r="L46" s="30">
        <f t="shared" si="8"/>
        <v>0</v>
      </c>
      <c r="M46" s="43">
        <f t="shared" si="12"/>
        <v>38451</v>
      </c>
      <c r="N46" s="13">
        <v>0.77083333333333337</v>
      </c>
      <c r="O46" s="12">
        <v>18506</v>
      </c>
      <c r="P46" s="23">
        <f t="shared" si="9"/>
        <v>0</v>
      </c>
    </row>
    <row r="47" spans="1:16" x14ac:dyDescent="0.2">
      <c r="A47" s="1" t="s">
        <v>242</v>
      </c>
      <c r="B47" s="2">
        <f>IF(AND(B44=120,B17=G4),B30-B44-B45-B46,B25)</f>
        <v>0</v>
      </c>
      <c r="C47" s="3">
        <v>0</v>
      </c>
      <c r="D47" s="3">
        <f t="shared" si="6"/>
        <v>0</v>
      </c>
      <c r="E47" s="38">
        <f t="shared" si="10"/>
        <v>38393</v>
      </c>
      <c r="F47" s="9">
        <v>0.77083333333333337</v>
      </c>
      <c r="G47" s="8">
        <v>18394</v>
      </c>
      <c r="H47" s="75">
        <f t="shared" si="7"/>
        <v>9</v>
      </c>
      <c r="I47" s="41">
        <f t="shared" si="11"/>
        <v>38421</v>
      </c>
      <c r="J47" s="11">
        <v>0.77083333333333337</v>
      </c>
      <c r="K47" s="10">
        <v>18479</v>
      </c>
      <c r="L47" s="30">
        <f t="shared" si="8"/>
        <v>4</v>
      </c>
      <c r="M47" s="43">
        <f t="shared" si="12"/>
        <v>38452</v>
      </c>
      <c r="N47" s="13">
        <v>0.77083333333333337</v>
      </c>
      <c r="O47" s="12">
        <v>18506</v>
      </c>
      <c r="P47" s="23">
        <f t="shared" si="9"/>
        <v>0</v>
      </c>
    </row>
    <row r="48" spans="1:16" x14ac:dyDescent="0.2">
      <c r="E48" s="38">
        <f t="shared" si="10"/>
        <v>38394</v>
      </c>
      <c r="F48" s="9">
        <v>0.77083333333333337</v>
      </c>
      <c r="G48" s="8">
        <v>18400</v>
      </c>
      <c r="H48" s="75">
        <f t="shared" si="7"/>
        <v>6</v>
      </c>
      <c r="I48" s="41">
        <f t="shared" si="11"/>
        <v>38422</v>
      </c>
      <c r="J48" s="11">
        <v>0.77083333333333337</v>
      </c>
      <c r="K48" s="10">
        <v>18481</v>
      </c>
      <c r="L48" s="30">
        <f t="shared" si="8"/>
        <v>2</v>
      </c>
      <c r="M48" s="43">
        <f t="shared" si="12"/>
        <v>38453</v>
      </c>
      <c r="N48" s="13">
        <v>0.77083333333333337</v>
      </c>
      <c r="O48" s="12">
        <v>18506</v>
      </c>
      <c r="P48" s="23">
        <f t="shared" si="9"/>
        <v>0</v>
      </c>
    </row>
    <row r="49" spans="1:16" x14ac:dyDescent="0.2">
      <c r="A49" s="1" t="s">
        <v>96</v>
      </c>
      <c r="B49" s="2"/>
      <c r="C49" s="3"/>
      <c r="D49" s="55">
        <f>(SUM(D35:D38)+SUM(D41:D42)+SUM(D44:D45)+D47)*1.1</f>
        <v>0</v>
      </c>
      <c r="E49" s="38">
        <f t="shared" si="10"/>
        <v>38395</v>
      </c>
      <c r="F49" s="9">
        <v>0.77083333333333337</v>
      </c>
      <c r="G49" s="8">
        <v>18405</v>
      </c>
      <c r="H49" s="75">
        <f t="shared" si="7"/>
        <v>5</v>
      </c>
      <c r="I49" s="41">
        <f t="shared" si="11"/>
        <v>38423</v>
      </c>
      <c r="J49" s="11">
        <v>0.77083333333333337</v>
      </c>
      <c r="K49" s="10">
        <v>18483</v>
      </c>
      <c r="L49" s="30">
        <f t="shared" si="8"/>
        <v>2</v>
      </c>
      <c r="M49" s="43">
        <f t="shared" si="12"/>
        <v>38454</v>
      </c>
      <c r="N49" s="13" t="s">
        <v>25</v>
      </c>
      <c r="O49" s="12">
        <v>18506</v>
      </c>
      <c r="P49" s="23">
        <f t="shared" si="9"/>
        <v>0</v>
      </c>
    </row>
    <row r="50" spans="1:16" x14ac:dyDescent="0.2">
      <c r="A50" s="1" t="s">
        <v>264</v>
      </c>
      <c r="D50" s="55">
        <f ca="1">(SUM(D31:D34)+SUM(D39:D40)+D43+D46)*1.22</f>
        <v>755.46615222000003</v>
      </c>
      <c r="E50" s="38">
        <f t="shared" si="10"/>
        <v>38396</v>
      </c>
      <c r="F50" s="9">
        <v>0.77083333333333337</v>
      </c>
      <c r="G50" s="8">
        <v>18410</v>
      </c>
      <c r="H50" s="75">
        <f t="shared" si="7"/>
        <v>5</v>
      </c>
      <c r="I50" s="41">
        <f t="shared" si="11"/>
        <v>38424</v>
      </c>
      <c r="J50" s="11">
        <v>0.77083333333333337</v>
      </c>
      <c r="K50" s="10">
        <v>18485</v>
      </c>
      <c r="L50" s="30">
        <f t="shared" si="8"/>
        <v>2</v>
      </c>
      <c r="M50" s="43">
        <f t="shared" si="12"/>
        <v>38455</v>
      </c>
      <c r="N50" s="13" t="s">
        <v>26</v>
      </c>
      <c r="O50" s="12">
        <v>18506</v>
      </c>
      <c r="P50" s="23">
        <f t="shared" si="9"/>
        <v>0</v>
      </c>
    </row>
    <row r="51" spans="1:16" x14ac:dyDescent="0.2">
      <c r="A51" s="1"/>
      <c r="B51" s="2"/>
      <c r="C51" s="3"/>
      <c r="D51" s="3"/>
      <c r="E51" s="38">
        <f t="shared" si="10"/>
        <v>38397</v>
      </c>
      <c r="F51" s="9">
        <v>0.77083333333333337</v>
      </c>
      <c r="G51" s="8">
        <v>18414</v>
      </c>
      <c r="H51" s="75">
        <f t="shared" si="7"/>
        <v>4</v>
      </c>
      <c r="I51" s="41">
        <f t="shared" si="11"/>
        <v>38425</v>
      </c>
      <c r="J51" s="11">
        <v>0.77083333333333337</v>
      </c>
      <c r="K51" s="10">
        <v>18486</v>
      </c>
      <c r="L51" s="30">
        <f t="shared" si="8"/>
        <v>1</v>
      </c>
      <c r="M51" s="43">
        <f t="shared" si="12"/>
        <v>38456</v>
      </c>
      <c r="N51" s="13">
        <v>0.77083333333333337</v>
      </c>
      <c r="O51" s="12">
        <v>18506</v>
      </c>
      <c r="P51" s="23">
        <f t="shared" si="9"/>
        <v>0</v>
      </c>
    </row>
    <row r="52" spans="1:16" x14ac:dyDescent="0.2">
      <c r="A52" s="1" t="s">
        <v>23</v>
      </c>
      <c r="B52" s="26">
        <v>0.41996</v>
      </c>
      <c r="C52" s="65"/>
      <c r="D52" s="26" t="s">
        <v>265</v>
      </c>
      <c r="E52" s="38">
        <f t="shared" si="10"/>
        <v>38398</v>
      </c>
      <c r="F52" s="9" t="s">
        <v>25</v>
      </c>
      <c r="G52" s="8">
        <v>18414</v>
      </c>
      <c r="H52" s="75">
        <f t="shared" si="7"/>
        <v>0</v>
      </c>
      <c r="I52" s="41">
        <f t="shared" si="11"/>
        <v>38426</v>
      </c>
      <c r="J52" s="11" t="s">
        <v>25</v>
      </c>
      <c r="K52" s="10">
        <v>18486</v>
      </c>
      <c r="L52" s="30">
        <f t="shared" si="8"/>
        <v>0</v>
      </c>
      <c r="M52" s="43">
        <f t="shared" si="12"/>
        <v>38457</v>
      </c>
      <c r="N52" s="13">
        <v>0.77083333333333337</v>
      </c>
      <c r="O52" s="12">
        <v>18506</v>
      </c>
      <c r="P52" s="23">
        <f t="shared" si="9"/>
        <v>0</v>
      </c>
    </row>
    <row r="53" spans="1:16" x14ac:dyDescent="0.2">
      <c r="A53" s="1" t="s">
        <v>16</v>
      </c>
      <c r="B53" s="26">
        <v>0.523725</v>
      </c>
      <c r="C53" s="65"/>
      <c r="D53" s="26" t="s">
        <v>265</v>
      </c>
      <c r="E53" s="38">
        <f t="shared" si="10"/>
        <v>38399</v>
      </c>
      <c r="F53" s="9" t="s">
        <v>26</v>
      </c>
      <c r="G53" s="8">
        <v>18414</v>
      </c>
      <c r="H53" s="75">
        <f t="shared" si="7"/>
        <v>0</v>
      </c>
      <c r="I53" s="41">
        <f t="shared" si="11"/>
        <v>38427</v>
      </c>
      <c r="J53" s="11" t="s">
        <v>26</v>
      </c>
      <c r="K53" s="10">
        <v>18486</v>
      </c>
      <c r="L53" s="30">
        <f t="shared" si="8"/>
        <v>0</v>
      </c>
      <c r="M53" s="43">
        <f t="shared" si="12"/>
        <v>38458</v>
      </c>
      <c r="N53" s="13">
        <v>0.77083333333333337</v>
      </c>
      <c r="O53" s="12">
        <v>18506</v>
      </c>
      <c r="P53" s="23">
        <f t="shared" si="9"/>
        <v>0</v>
      </c>
    </row>
    <row r="54" spans="1:16" x14ac:dyDescent="0.2">
      <c r="A54" s="1" t="s">
        <v>18</v>
      </c>
      <c r="B54" s="26">
        <v>0.50221899999999997</v>
      </c>
      <c r="C54" s="65"/>
      <c r="D54" s="26" t="s">
        <v>265</v>
      </c>
      <c r="E54" s="38">
        <f t="shared" si="10"/>
        <v>38400</v>
      </c>
      <c r="F54" s="9">
        <v>0.77083333333333337</v>
      </c>
      <c r="G54" s="8">
        <v>18420</v>
      </c>
      <c r="H54" s="75">
        <f t="shared" si="7"/>
        <v>6</v>
      </c>
      <c r="I54" s="41">
        <f t="shared" si="11"/>
        <v>38428</v>
      </c>
      <c r="J54" s="11">
        <v>0.77083333333333337</v>
      </c>
      <c r="K54" s="10">
        <v>18487</v>
      </c>
      <c r="L54" s="30">
        <f t="shared" si="8"/>
        <v>1</v>
      </c>
      <c r="M54" s="43">
        <f t="shared" si="12"/>
        <v>38459</v>
      </c>
      <c r="N54" s="13">
        <v>0.77083333333333337</v>
      </c>
      <c r="O54" s="12">
        <v>18506</v>
      </c>
      <c r="P54" s="23">
        <f t="shared" si="9"/>
        <v>0</v>
      </c>
    </row>
    <row r="55" spans="1:16" x14ac:dyDescent="0.2">
      <c r="A55" s="1"/>
      <c r="B55" s="2"/>
      <c r="C55" s="3"/>
      <c r="D55" s="3"/>
      <c r="E55" s="38">
        <f t="shared" si="10"/>
        <v>38401</v>
      </c>
      <c r="F55" s="9">
        <v>0.77083333333333337</v>
      </c>
      <c r="G55" s="8">
        <v>18424</v>
      </c>
      <c r="H55" s="75">
        <f t="shared" si="7"/>
        <v>4</v>
      </c>
      <c r="I55" s="41">
        <f t="shared" si="11"/>
        <v>38429</v>
      </c>
      <c r="J55" s="11">
        <v>0.77083333333333337</v>
      </c>
      <c r="K55" s="10">
        <v>18487</v>
      </c>
      <c r="L55" s="30">
        <f t="shared" si="8"/>
        <v>0</v>
      </c>
      <c r="M55" s="43">
        <f t="shared" si="12"/>
        <v>38460</v>
      </c>
      <c r="N55" s="13">
        <v>0.77083333333333337</v>
      </c>
      <c r="O55" s="12">
        <v>18506</v>
      </c>
      <c r="P55" s="23">
        <f t="shared" si="9"/>
        <v>0</v>
      </c>
    </row>
    <row r="56" spans="1:16" x14ac:dyDescent="0.2">
      <c r="A56" s="1" t="s">
        <v>201</v>
      </c>
      <c r="B56" s="26">
        <v>4.3999999999999997E-2</v>
      </c>
      <c r="C56" s="3"/>
      <c r="D56" s="3"/>
      <c r="E56" s="38">
        <f t="shared" si="10"/>
        <v>38402</v>
      </c>
      <c r="F56" s="9">
        <v>0.77083333333333337</v>
      </c>
      <c r="G56" s="8">
        <v>18428</v>
      </c>
      <c r="H56" s="75">
        <f t="shared" si="7"/>
        <v>4</v>
      </c>
      <c r="I56" s="41">
        <f t="shared" si="11"/>
        <v>38430</v>
      </c>
      <c r="J56" s="11">
        <v>0.77083333333333337</v>
      </c>
      <c r="K56" s="10">
        <v>18488</v>
      </c>
      <c r="L56" s="30">
        <f t="shared" si="8"/>
        <v>1</v>
      </c>
      <c r="M56" s="43">
        <f t="shared" si="12"/>
        <v>38461</v>
      </c>
      <c r="N56" s="13" t="s">
        <v>25</v>
      </c>
      <c r="O56" s="12">
        <v>18509</v>
      </c>
      <c r="P56" s="23">
        <f t="shared" si="9"/>
        <v>3</v>
      </c>
    </row>
    <row r="57" spans="1:16" x14ac:dyDescent="0.2">
      <c r="A57" s="1" t="s">
        <v>202</v>
      </c>
      <c r="B57" s="26">
        <v>0.17499999999999999</v>
      </c>
      <c r="C57" s="3"/>
      <c r="D57" s="3"/>
      <c r="E57" s="38">
        <f t="shared" si="10"/>
        <v>38403</v>
      </c>
      <c r="F57" s="9">
        <v>0.77083333333333337</v>
      </c>
      <c r="G57" s="8">
        <v>18434</v>
      </c>
      <c r="H57" s="75">
        <f t="shared" si="7"/>
        <v>6</v>
      </c>
      <c r="I57" s="41">
        <f t="shared" si="11"/>
        <v>38431</v>
      </c>
      <c r="J57" s="11">
        <v>0.77083333333333337</v>
      </c>
      <c r="K57" s="10">
        <v>18488</v>
      </c>
      <c r="L57" s="30">
        <f t="shared" si="8"/>
        <v>0</v>
      </c>
      <c r="M57" s="43">
        <f t="shared" si="12"/>
        <v>38462</v>
      </c>
      <c r="N57" s="13" t="s">
        <v>52</v>
      </c>
      <c r="O57" s="12">
        <v>18509</v>
      </c>
      <c r="P57" s="23">
        <f t="shared" si="9"/>
        <v>0</v>
      </c>
    </row>
    <row r="58" spans="1:16" x14ac:dyDescent="0.2">
      <c r="A58" s="1" t="s">
        <v>203</v>
      </c>
      <c r="B58" s="26">
        <v>0.17</v>
      </c>
      <c r="C58" s="3"/>
      <c r="D58" s="3"/>
      <c r="E58" s="38">
        <f t="shared" si="10"/>
        <v>38404</v>
      </c>
      <c r="F58" s="9">
        <v>0.77083333333333337</v>
      </c>
      <c r="G58" s="8">
        <v>18437</v>
      </c>
      <c r="H58" s="75">
        <f t="shared" si="7"/>
        <v>3</v>
      </c>
      <c r="I58" s="41">
        <f t="shared" si="11"/>
        <v>38432</v>
      </c>
      <c r="J58" s="11">
        <v>0.77083333333333337</v>
      </c>
      <c r="K58" s="10">
        <v>18488</v>
      </c>
      <c r="L58" s="30">
        <f t="shared" si="8"/>
        <v>0</v>
      </c>
      <c r="M58" s="43">
        <f t="shared" si="12"/>
        <v>38463</v>
      </c>
      <c r="N58" s="13" t="s">
        <v>72</v>
      </c>
      <c r="O58" s="12">
        <v>18509</v>
      </c>
      <c r="P58" s="23">
        <f t="shared" si="9"/>
        <v>0</v>
      </c>
    </row>
    <row r="59" spans="1:16" x14ac:dyDescent="0.2">
      <c r="A59" s="1"/>
      <c r="B59" s="2"/>
      <c r="C59" s="3"/>
      <c r="D59" s="3"/>
      <c r="E59" s="38">
        <f t="shared" si="10"/>
        <v>38405</v>
      </c>
      <c r="F59" s="9" t="s">
        <v>25</v>
      </c>
      <c r="G59" s="8">
        <v>18437</v>
      </c>
      <c r="H59" s="75">
        <f t="shared" si="7"/>
        <v>0</v>
      </c>
      <c r="I59" s="41">
        <f t="shared" si="11"/>
        <v>38433</v>
      </c>
      <c r="J59" s="11" t="s">
        <v>25</v>
      </c>
      <c r="K59" s="10">
        <v>18488</v>
      </c>
      <c r="L59" s="30">
        <f t="shared" si="8"/>
        <v>0</v>
      </c>
      <c r="M59" s="43">
        <f t="shared" si="12"/>
        <v>38464</v>
      </c>
      <c r="N59" s="13">
        <v>0.77083333333333337</v>
      </c>
      <c r="O59" s="12">
        <v>18510</v>
      </c>
      <c r="P59" s="23">
        <f t="shared" si="9"/>
        <v>1</v>
      </c>
    </row>
    <row r="60" spans="1:16" x14ac:dyDescent="0.2">
      <c r="A60" s="1" t="s">
        <v>90</v>
      </c>
      <c r="B60" s="26">
        <v>56.17</v>
      </c>
      <c r="C60" s="3" t="s">
        <v>86</v>
      </c>
      <c r="D60" s="3"/>
      <c r="E60" s="38">
        <f t="shared" si="10"/>
        <v>38406</v>
      </c>
      <c r="F60" s="9" t="s">
        <v>26</v>
      </c>
      <c r="G60" s="8">
        <v>18437</v>
      </c>
      <c r="H60" s="75">
        <f t="shared" si="7"/>
        <v>0</v>
      </c>
      <c r="I60" s="41">
        <f t="shared" si="11"/>
        <v>38434</v>
      </c>
      <c r="J60" s="11" t="s">
        <v>26</v>
      </c>
      <c r="K60" s="10">
        <v>18488</v>
      </c>
      <c r="L60" s="30">
        <f t="shared" si="8"/>
        <v>0</v>
      </c>
      <c r="M60" s="43">
        <f t="shared" si="12"/>
        <v>38465</v>
      </c>
      <c r="N60" s="13">
        <v>0.77083333333333337</v>
      </c>
      <c r="O60" s="12"/>
      <c r="P60" s="23" t="str">
        <f t="shared" si="9"/>
        <v/>
      </c>
    </row>
    <row r="61" spans="1:16" x14ac:dyDescent="0.2">
      <c r="A61" s="1" t="s">
        <v>54</v>
      </c>
      <c r="B61" s="26">
        <v>40.340000000000003</v>
      </c>
      <c r="C61" s="3" t="s">
        <v>86</v>
      </c>
      <c r="D61" s="3"/>
      <c r="E61" s="38">
        <f t="shared" si="10"/>
        <v>38407</v>
      </c>
      <c r="F61" s="9">
        <v>0.77083333333333337</v>
      </c>
      <c r="G61" s="8">
        <v>18441</v>
      </c>
      <c r="H61" s="75">
        <f t="shared" si="7"/>
        <v>4</v>
      </c>
      <c r="I61" s="41">
        <f t="shared" si="11"/>
        <v>38435</v>
      </c>
      <c r="J61" s="11">
        <v>0.77083333333333337</v>
      </c>
      <c r="K61" s="10">
        <v>18488</v>
      </c>
      <c r="L61" s="30">
        <f t="shared" si="8"/>
        <v>0</v>
      </c>
      <c r="M61" s="43">
        <f t="shared" si="12"/>
        <v>38466</v>
      </c>
      <c r="N61" s="13">
        <v>0.77083333333333337</v>
      </c>
      <c r="O61" s="12"/>
      <c r="P61" s="23" t="str">
        <f t="shared" si="9"/>
        <v/>
      </c>
    </row>
    <row r="62" spans="1:16" x14ac:dyDescent="0.2">
      <c r="A62" s="1" t="s">
        <v>89</v>
      </c>
      <c r="B62" s="26">
        <v>-27.01</v>
      </c>
      <c r="C62" s="3" t="s">
        <v>86</v>
      </c>
      <c r="D62" s="3"/>
      <c r="E62" s="38">
        <f t="shared" si="10"/>
        <v>38408</v>
      </c>
      <c r="F62" s="9">
        <v>0.77083333333333337</v>
      </c>
      <c r="G62" s="8">
        <v>18445</v>
      </c>
      <c r="H62" s="75">
        <f t="shared" si="7"/>
        <v>4</v>
      </c>
      <c r="I62" s="41">
        <f t="shared" si="11"/>
        <v>38436</v>
      </c>
      <c r="J62" s="11">
        <v>0.77083333333333337</v>
      </c>
      <c r="K62" s="10">
        <v>18491</v>
      </c>
      <c r="L62" s="30">
        <f t="shared" si="8"/>
        <v>3</v>
      </c>
      <c r="M62" s="43">
        <f t="shared" si="12"/>
        <v>38467</v>
      </c>
      <c r="N62" s="13" t="s">
        <v>254</v>
      </c>
      <c r="O62" s="12"/>
      <c r="P62" s="23" t="str">
        <f t="shared" si="9"/>
        <v/>
      </c>
    </row>
    <row r="63" spans="1:16" x14ac:dyDescent="0.2">
      <c r="A63" s="1" t="s">
        <v>91</v>
      </c>
      <c r="B63" s="26">
        <v>0</v>
      </c>
      <c r="C63" s="3" t="s">
        <v>86</v>
      </c>
      <c r="D63" s="3"/>
      <c r="E63" s="38">
        <v>38774</v>
      </c>
      <c r="F63" s="9">
        <v>0.77083333333333337</v>
      </c>
      <c r="G63" s="8">
        <v>18448</v>
      </c>
      <c r="H63" s="75">
        <f>IF(AND(H62&lt;&gt;"",G63&lt;&gt;""),G63-G62,"")</f>
        <v>3</v>
      </c>
      <c r="I63" s="41">
        <v>38802</v>
      </c>
      <c r="J63" s="11">
        <v>0.77083333333333337</v>
      </c>
      <c r="K63" s="10">
        <v>18495</v>
      </c>
      <c r="L63" s="30">
        <f t="shared" si="8"/>
        <v>4</v>
      </c>
      <c r="M63" s="43">
        <f t="shared" si="12"/>
        <v>38468</v>
      </c>
      <c r="N63" s="13">
        <v>0.77083333333333337</v>
      </c>
      <c r="O63" s="12"/>
      <c r="P63" s="23" t="str">
        <f t="shared" si="9"/>
        <v/>
      </c>
    </row>
    <row r="64" spans="1:16" x14ac:dyDescent="0.2">
      <c r="A64" s="1"/>
      <c r="B64" s="2"/>
      <c r="C64" s="3"/>
      <c r="D64" s="3"/>
      <c r="E64" s="38">
        <v>38775</v>
      </c>
      <c r="F64" s="9">
        <v>0.77083333333333337</v>
      </c>
      <c r="G64" s="8">
        <v>18453</v>
      </c>
      <c r="H64" s="75">
        <f>IF(AND(H63&lt;&gt;"",G64&lt;&gt;""),G64-G63,"")</f>
        <v>5</v>
      </c>
      <c r="I64" s="41">
        <v>38803</v>
      </c>
      <c r="J64" s="11">
        <v>0.77083333333333337</v>
      </c>
      <c r="K64" s="10">
        <v>18498</v>
      </c>
      <c r="L64" s="30">
        <f t="shared" si="8"/>
        <v>3</v>
      </c>
      <c r="M64" s="43">
        <f t="shared" si="12"/>
        <v>38469</v>
      </c>
      <c r="N64" s="13" t="s">
        <v>25</v>
      </c>
      <c r="O64" s="12"/>
      <c r="P64" s="23" t="str">
        <f t="shared" si="9"/>
        <v/>
      </c>
    </row>
    <row r="65" spans="1:16" x14ac:dyDescent="0.2">
      <c r="A65" s="1" t="s">
        <v>100</v>
      </c>
      <c r="B65" s="71">
        <f>SUM(B60:B63)</f>
        <v>69.5</v>
      </c>
      <c r="C65" s="3" t="s">
        <v>86</v>
      </c>
      <c r="E65" s="38">
        <v>38776</v>
      </c>
      <c r="F65" s="9">
        <v>0.77083333333333337</v>
      </c>
      <c r="G65" s="8">
        <v>18457</v>
      </c>
      <c r="H65" s="75">
        <f>IF(AND(H64&lt;&gt;"",G65&lt;&gt;""),G65-G64,"")</f>
        <v>4</v>
      </c>
      <c r="I65" s="41">
        <v>38804</v>
      </c>
      <c r="J65" s="11">
        <v>0.77083333333333337</v>
      </c>
      <c r="K65" s="10">
        <v>18500</v>
      </c>
      <c r="L65" s="30">
        <f t="shared" si="8"/>
        <v>2</v>
      </c>
      <c r="M65" s="43">
        <f t="shared" si="12"/>
        <v>38470</v>
      </c>
      <c r="N65" s="13" t="s">
        <v>26</v>
      </c>
      <c r="O65" s="12"/>
      <c r="P65" s="23" t="str">
        <f t="shared" si="9"/>
        <v/>
      </c>
    </row>
    <row r="66" spans="1:16" x14ac:dyDescent="0.2">
      <c r="A66" s="1" t="s">
        <v>194</v>
      </c>
      <c r="B66" s="102">
        <v>1.0213190000000001</v>
      </c>
      <c r="E66" s="38"/>
      <c r="F66" s="9"/>
      <c r="G66" s="8"/>
      <c r="H66" s="75" t="str">
        <f>IF(AND(H65&lt;&gt;"",G66&lt;&gt;""),G66-G65,"")</f>
        <v/>
      </c>
      <c r="I66" s="41">
        <v>38805</v>
      </c>
      <c r="J66" s="11" t="s">
        <v>25</v>
      </c>
      <c r="K66" s="10">
        <v>18500</v>
      </c>
      <c r="L66" s="30">
        <f t="shared" si="8"/>
        <v>0</v>
      </c>
      <c r="M66" s="43">
        <f t="shared" si="12"/>
        <v>38471</v>
      </c>
      <c r="N66" s="13">
        <v>0.77083333333333337</v>
      </c>
      <c r="O66" s="12"/>
      <c r="P66" s="23" t="str">
        <f t="shared" si="9"/>
        <v/>
      </c>
    </row>
    <row r="67" spans="1:16" x14ac:dyDescent="0.2">
      <c r="E67" s="38"/>
      <c r="F67" s="8"/>
      <c r="G67" s="8"/>
      <c r="H67" s="75" t="str">
        <f>IF(AND(H61&lt;&gt;"",G67&lt;&gt;""),G67-G61,"")</f>
        <v/>
      </c>
      <c r="I67" s="41">
        <v>38806</v>
      </c>
      <c r="J67" s="11" t="s">
        <v>26</v>
      </c>
      <c r="K67" s="10">
        <v>18500</v>
      </c>
      <c r="L67" s="30">
        <f t="shared" si="8"/>
        <v>0</v>
      </c>
      <c r="M67" s="43">
        <f t="shared" si="12"/>
        <v>38472</v>
      </c>
      <c r="N67" s="13">
        <v>0.77083333333333337</v>
      </c>
      <c r="O67" s="12"/>
      <c r="P67" s="23" t="str">
        <f t="shared" si="9"/>
        <v/>
      </c>
    </row>
    <row r="68" spans="1:16" x14ac:dyDescent="0.2">
      <c r="A68" s="72" t="s">
        <v>24</v>
      </c>
      <c r="B68" s="55">
        <f ca="1">B2</f>
        <v>755.46615222000003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>
        <v>0.77083333333333337</v>
      </c>
      <c r="K68" s="10">
        <v>18500</v>
      </c>
      <c r="L68" s="30">
        <f t="shared" si="8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A69" s="1"/>
      <c r="B69" s="2"/>
      <c r="C69" s="3"/>
      <c r="D69" s="3"/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8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/>
  </sheetData>
  <mergeCells count="4">
    <mergeCell ref="C5:D5"/>
    <mergeCell ref="C6:D6"/>
    <mergeCell ref="C7:D7"/>
    <mergeCell ref="C8:D8"/>
  </mergeCells>
  <conditionalFormatting sqref="P4">
    <cfRule type="cellIs" dxfId="31" priority="8" stopIfTrue="1" operator="lessThan">
      <formula>0</formula>
    </cfRule>
    <cfRule type="cellIs" dxfId="30" priority="9" stopIfTrue="1" operator="lessThan">
      <formula>0</formula>
    </cfRule>
  </conditionalFormatting>
  <conditionalFormatting sqref="L38">
    <cfRule type="cellIs" dxfId="29" priority="7" stopIfTrue="1" operator="lessThan">
      <formula>0</formula>
    </cfRule>
  </conditionalFormatting>
  <conditionalFormatting sqref="H38">
    <cfRule type="cellIs" dxfId="28" priority="6" stopIfTrue="1" operator="lessThan">
      <formula>0</formula>
    </cfRule>
  </conditionalFormatting>
  <conditionalFormatting sqref="P38">
    <cfRule type="cellIs" dxfId="27" priority="5" stopIfTrue="1" operator="lessThan">
      <formula>0</formula>
    </cfRule>
  </conditionalFormatting>
  <conditionalFormatting sqref="B29">
    <cfRule type="cellIs" dxfId="26" priority="4" stopIfTrue="1" operator="greaterThan">
      <formula>366</formula>
    </cfRule>
  </conditionalFormatting>
  <conditionalFormatting sqref="B31:B34">
    <cfRule type="cellIs" dxfId="25" priority="2" stopIfTrue="1" operator="greaterThan">
      <formula>366</formula>
    </cfRule>
    <cfRule type="cellIs" dxfId="24" priority="3" stopIfTrue="1" operator="greaterThan">
      <formula>40472</formula>
    </cfRule>
  </conditionalFormatting>
  <conditionalFormatting sqref="B2">
    <cfRule type="containsText" dxfId="23" priority="1" stopIfTrue="1" operator="containsText" text="#VALORE!">
      <formula>NOT(ISERROR(SEARCH("#VALORE!",B2)))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H19" sqref="H19"/>
    </sheetView>
  </sheetViews>
  <sheetFormatPr defaultRowHeight="12.75" x14ac:dyDescent="0.2"/>
  <cols>
    <col min="1" max="1" width="25.140625" bestFit="1" customWidth="1"/>
    <col min="2" max="2" width="9" bestFit="1" customWidth="1"/>
    <col min="3" max="3" width="6.42578125" bestFit="1" customWidth="1"/>
    <col min="4" max="4" width="10.42578125" style="78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IF(D49="",D50,D49+D50)</f>
        <v>838.91079032243329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/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 t="s">
        <v>244</v>
      </c>
      <c r="B4" s="26" t="s">
        <v>245</v>
      </c>
      <c r="C4" s="3"/>
      <c r="D4" s="3"/>
      <c r="E4" s="38">
        <v>39387</v>
      </c>
      <c r="F4" s="9">
        <v>0.77083333333333337</v>
      </c>
      <c r="G4" s="8">
        <v>17512</v>
      </c>
      <c r="H4" s="76">
        <f>IF(G4-B17&lt;0,0,0)</f>
        <v>0</v>
      </c>
      <c r="I4" s="46">
        <v>38687</v>
      </c>
      <c r="J4" s="11" t="s">
        <v>25</v>
      </c>
      <c r="K4" s="10">
        <v>17547</v>
      </c>
      <c r="L4" s="30">
        <f>IF(AND(H35&lt;&gt;"",K4&lt;&gt;""),K4-K3,K4-MAX(G4:G35))</f>
        <v>0</v>
      </c>
      <c r="M4" s="43">
        <v>38353</v>
      </c>
      <c r="N4" s="13" t="s">
        <v>33</v>
      </c>
      <c r="O4" s="12">
        <v>17678</v>
      </c>
      <c r="P4" s="23">
        <f>IF(AND(L35&lt;&gt;"",O4&lt;&gt;""),O4-O3,O4-MAX(K4:K34))</f>
        <v>0</v>
      </c>
    </row>
    <row r="5" spans="1:16" x14ac:dyDescent="0.2">
      <c r="A5" s="1" t="s">
        <v>243</v>
      </c>
      <c r="B5" s="26">
        <v>35.799999999999997</v>
      </c>
      <c r="C5" s="131"/>
      <c r="D5" s="132"/>
      <c r="E5" s="38">
        <f>E4+1</f>
        <v>39388</v>
      </c>
      <c r="F5" s="9">
        <v>0.77083333333333337</v>
      </c>
      <c r="G5" s="8">
        <v>17521</v>
      </c>
      <c r="H5" s="75">
        <f t="shared" ref="H5:H35" si="0">IF(AND(H4&lt;&gt;"",G5&lt;&gt;""),G5-G4,"")</f>
        <v>9</v>
      </c>
      <c r="I5" s="41">
        <f>I4+1</f>
        <v>38688</v>
      </c>
      <c r="J5" s="11" t="s">
        <v>26</v>
      </c>
      <c r="K5" s="10">
        <v>17547</v>
      </c>
      <c r="L5" s="30">
        <f>IF(AND(L4&lt;&gt;"",K5&lt;&gt;""),K5-K4,"")</f>
        <v>0</v>
      </c>
      <c r="M5" s="43">
        <f>M4+1</f>
        <v>38354</v>
      </c>
      <c r="N5" s="13">
        <v>0.77083333333333337</v>
      </c>
      <c r="O5" s="12">
        <v>17686</v>
      </c>
      <c r="P5" s="23">
        <f>IF(AND(P4&lt;&gt;"",O5&lt;&gt;""),O5-O4,"")</f>
        <v>8</v>
      </c>
    </row>
    <row r="6" spans="1:16" x14ac:dyDescent="0.2">
      <c r="A6" s="1" t="s">
        <v>246</v>
      </c>
      <c r="B6" s="26">
        <v>123.5</v>
      </c>
      <c r="C6" s="131"/>
      <c r="D6" s="132"/>
      <c r="E6" s="38">
        <f t="shared" ref="E6:E33" si="1">E5+1</f>
        <v>39389</v>
      </c>
      <c r="F6" s="9" t="s">
        <v>25</v>
      </c>
      <c r="G6" s="8">
        <v>17521</v>
      </c>
      <c r="H6" s="75">
        <f t="shared" si="0"/>
        <v>0</v>
      </c>
      <c r="I6" s="41">
        <f t="shared" ref="I6:I29" si="2">I5+1</f>
        <v>38689</v>
      </c>
      <c r="J6" s="11">
        <v>0.77083333333333337</v>
      </c>
      <c r="K6" s="10">
        <v>17553</v>
      </c>
      <c r="L6" s="30">
        <f>IF(AND(L5&lt;&gt;"",K6&lt;&gt;""),K6-K5,"")</f>
        <v>6</v>
      </c>
      <c r="M6" s="43">
        <f t="shared" ref="M6:M29" si="3">M5+1</f>
        <v>38355</v>
      </c>
      <c r="N6" s="13">
        <v>0.77083333333333337</v>
      </c>
      <c r="O6" s="12">
        <v>17691</v>
      </c>
      <c r="P6" s="23">
        <f t="shared" ref="P6:P35" si="4">IF(AND(P5&lt;&gt;"",O6&lt;&gt;""),O6-O5,"")</f>
        <v>5</v>
      </c>
    </row>
    <row r="7" spans="1:16" x14ac:dyDescent="0.2">
      <c r="A7" s="1" t="s">
        <v>247</v>
      </c>
      <c r="B7" s="26">
        <v>0</v>
      </c>
      <c r="C7" s="131"/>
      <c r="D7" s="132"/>
      <c r="E7" s="38">
        <f t="shared" si="1"/>
        <v>39390</v>
      </c>
      <c r="F7" s="9" t="s">
        <v>26</v>
      </c>
      <c r="G7" s="8">
        <v>17521</v>
      </c>
      <c r="H7" s="75">
        <f t="shared" si="0"/>
        <v>0</v>
      </c>
      <c r="I7" s="41">
        <f t="shared" si="2"/>
        <v>38690</v>
      </c>
      <c r="J7" s="11">
        <v>0.77083333333333337</v>
      </c>
      <c r="K7" s="10">
        <v>17556</v>
      </c>
      <c r="L7" s="30">
        <f>IF(AND(L6&lt;&gt;"",K7&lt;&gt;""),K7-K6,"")</f>
        <v>3</v>
      </c>
      <c r="M7" s="43">
        <f t="shared" si="3"/>
        <v>38356</v>
      </c>
      <c r="N7" s="13">
        <v>0.77083333333333337</v>
      </c>
      <c r="O7" s="12">
        <v>17695</v>
      </c>
      <c r="P7" s="23">
        <f t="shared" si="4"/>
        <v>4</v>
      </c>
    </row>
    <row r="8" spans="1:16" x14ac:dyDescent="0.2">
      <c r="A8" s="1" t="s">
        <v>248</v>
      </c>
      <c r="B8" s="26">
        <v>171.36</v>
      </c>
      <c r="C8" s="133"/>
      <c r="D8" s="133"/>
      <c r="E8" s="38">
        <f t="shared" si="1"/>
        <v>39391</v>
      </c>
      <c r="F8" s="9">
        <v>0.77083333333333337</v>
      </c>
      <c r="G8" s="8">
        <v>17521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17561</v>
      </c>
      <c r="L8" s="30">
        <f>IF(AND(L7&lt;&gt;"",K8&lt;&gt;""),K8-K7,"")</f>
        <v>5</v>
      </c>
      <c r="M8" s="43">
        <f t="shared" si="3"/>
        <v>38357</v>
      </c>
      <c r="N8" s="13" t="s">
        <v>25</v>
      </c>
      <c r="O8" s="12">
        <v>17695</v>
      </c>
      <c r="P8" s="23">
        <f t="shared" si="4"/>
        <v>0</v>
      </c>
    </row>
    <row r="9" spans="1:16" x14ac:dyDescent="0.2">
      <c r="A9" s="1" t="s">
        <v>249</v>
      </c>
      <c r="B9" s="26">
        <v>88.31</v>
      </c>
      <c r="E9" s="38">
        <f t="shared" si="1"/>
        <v>39392</v>
      </c>
      <c r="F9" s="9">
        <v>0.77083333333333337</v>
      </c>
      <c r="G9" s="8">
        <v>17523</v>
      </c>
      <c r="H9" s="75">
        <f t="shared" si="0"/>
        <v>2</v>
      </c>
      <c r="I9" s="41">
        <f t="shared" si="2"/>
        <v>38692</v>
      </c>
      <c r="J9" s="11">
        <v>0.77083333333333337</v>
      </c>
      <c r="K9" s="10">
        <v>17565</v>
      </c>
      <c r="L9" s="30">
        <f>IF(AND(L8&lt;&gt;"",K9&lt;&gt;""),K9-K8,"")</f>
        <v>4</v>
      </c>
      <c r="M9" s="43">
        <f t="shared" si="3"/>
        <v>38358</v>
      </c>
      <c r="N9" s="13" t="s">
        <v>83</v>
      </c>
      <c r="O9" s="12">
        <v>17695</v>
      </c>
      <c r="P9" s="23">
        <f t="shared" si="4"/>
        <v>0</v>
      </c>
    </row>
    <row r="10" spans="1:16" x14ac:dyDescent="0.2">
      <c r="A10" s="1" t="s">
        <v>251</v>
      </c>
      <c r="B10" s="26">
        <v>49.46</v>
      </c>
      <c r="E10" s="38">
        <f t="shared" si="1"/>
        <v>39393</v>
      </c>
      <c r="F10" s="9">
        <v>0.77083333333333337</v>
      </c>
      <c r="G10" s="8">
        <v>17523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17570</v>
      </c>
      <c r="L10" s="30">
        <f t="shared" ref="L10:L35" si="5">IF(AND(L9&lt;&gt;"",K10&lt;&gt;""),K10-K9,"")</f>
        <v>5</v>
      </c>
      <c r="M10" s="43">
        <f t="shared" si="3"/>
        <v>38359</v>
      </c>
      <c r="N10" s="13">
        <v>0.77083333333333337</v>
      </c>
      <c r="O10" s="12">
        <v>17695</v>
      </c>
      <c r="P10" s="23">
        <f t="shared" si="4"/>
        <v>0</v>
      </c>
    </row>
    <row r="11" spans="1:16" x14ac:dyDescent="0.2">
      <c r="E11" s="38">
        <f t="shared" si="1"/>
        <v>39394</v>
      </c>
      <c r="F11" s="9">
        <v>0.77083333333333337</v>
      </c>
      <c r="G11" s="8">
        <v>17523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17570</v>
      </c>
      <c r="L11" s="30">
        <f t="shared" si="5"/>
        <v>0</v>
      </c>
      <c r="M11" s="43">
        <f t="shared" si="3"/>
        <v>38360</v>
      </c>
      <c r="N11" s="13">
        <v>0.77083333333333337</v>
      </c>
      <c r="O11" s="12">
        <v>17704</v>
      </c>
      <c r="P11" s="23">
        <f t="shared" si="4"/>
        <v>9</v>
      </c>
    </row>
    <row r="12" spans="1:16" x14ac:dyDescent="0.2">
      <c r="A12" s="63" t="s">
        <v>239</v>
      </c>
      <c r="B12" s="64">
        <f>SUM(B4:B10)</f>
        <v>468.43</v>
      </c>
      <c r="C12" s="3"/>
      <c r="D12" s="3"/>
      <c r="E12" s="38">
        <f t="shared" si="1"/>
        <v>39395</v>
      </c>
      <c r="F12" s="9">
        <v>0.77083333333333337</v>
      </c>
      <c r="G12" s="8">
        <v>17524</v>
      </c>
      <c r="H12" s="75">
        <f t="shared" si="0"/>
        <v>1</v>
      </c>
      <c r="I12" s="41">
        <f t="shared" si="2"/>
        <v>38695</v>
      </c>
      <c r="J12" s="11" t="s">
        <v>26</v>
      </c>
      <c r="K12" s="10">
        <v>17570</v>
      </c>
      <c r="L12" s="30">
        <f t="shared" si="5"/>
        <v>0</v>
      </c>
      <c r="M12" s="43">
        <f t="shared" si="3"/>
        <v>38361</v>
      </c>
      <c r="N12" s="13">
        <v>0.77083333333333337</v>
      </c>
      <c r="O12" s="12">
        <v>17709</v>
      </c>
      <c r="P12" s="23">
        <f t="shared" si="4"/>
        <v>5</v>
      </c>
    </row>
    <row r="13" spans="1:16" x14ac:dyDescent="0.2">
      <c r="A13" s="1" t="s">
        <v>240</v>
      </c>
      <c r="B13" s="27">
        <f>(MAX(G3:G33,K4:K34,O4:O34,G38:G65,K38:K68,O38:O67)-MIN(G4,G35))</f>
        <v>575</v>
      </c>
      <c r="C13" s="3"/>
      <c r="D13" s="3"/>
      <c r="E13" s="38">
        <f t="shared" si="1"/>
        <v>39396</v>
      </c>
      <c r="F13" s="9" t="s">
        <v>25</v>
      </c>
      <c r="G13" s="8">
        <v>17524</v>
      </c>
      <c r="H13" s="75">
        <f t="shared" si="0"/>
        <v>0</v>
      </c>
      <c r="I13" s="41">
        <f t="shared" si="2"/>
        <v>38696</v>
      </c>
      <c r="J13" s="11">
        <v>0.77083333333333337</v>
      </c>
      <c r="K13" s="10">
        <v>17577</v>
      </c>
      <c r="L13" s="30">
        <f t="shared" si="5"/>
        <v>7</v>
      </c>
      <c r="M13" s="43">
        <f t="shared" si="3"/>
        <v>38362</v>
      </c>
      <c r="N13" s="13">
        <v>0.77083333333333337</v>
      </c>
      <c r="O13" s="12">
        <v>17713</v>
      </c>
      <c r="P13" s="23">
        <f>IF(AND(P12&lt;&gt;"",O13&lt;&gt;""),O13-O12,"")</f>
        <v>4</v>
      </c>
    </row>
    <row r="14" spans="1:16" x14ac:dyDescent="0.2">
      <c r="A14" s="1" t="s">
        <v>215</v>
      </c>
      <c r="B14" s="2">
        <f>(MAX(G4:G33,K4:K34)-'1112'!O4)*B66</f>
        <v>642.40965100000005</v>
      </c>
      <c r="C14" s="116"/>
      <c r="D14" s="117"/>
      <c r="E14" s="38">
        <f t="shared" si="1"/>
        <v>39397</v>
      </c>
      <c r="F14" s="9" t="s">
        <v>26</v>
      </c>
      <c r="G14" s="8">
        <v>17524</v>
      </c>
      <c r="H14" s="75">
        <f t="shared" si="0"/>
        <v>0</v>
      </c>
      <c r="I14" s="41">
        <f t="shared" si="2"/>
        <v>38697</v>
      </c>
      <c r="J14" s="11">
        <v>0.77083333333333337</v>
      </c>
      <c r="K14" s="10">
        <v>17584</v>
      </c>
      <c r="L14" s="30">
        <f t="shared" si="5"/>
        <v>7</v>
      </c>
      <c r="M14" s="43">
        <f t="shared" si="3"/>
        <v>38363</v>
      </c>
      <c r="N14" s="13">
        <v>0.77083333333333337</v>
      </c>
      <c r="O14" s="12">
        <v>17718</v>
      </c>
      <c r="P14" s="23">
        <f t="shared" si="4"/>
        <v>5</v>
      </c>
    </row>
    <row r="15" spans="1:16" x14ac:dyDescent="0.2">
      <c r="A15" s="1" t="s">
        <v>241</v>
      </c>
      <c r="B15" s="2">
        <f>IF(O4="",0,((MAX(O4:O34,G38:G68,K38:K68,O38:O68))-K34)*B66)</f>
        <v>417.71947100000006</v>
      </c>
      <c r="C15" s="3"/>
      <c r="D15" s="3"/>
      <c r="E15" s="38">
        <f t="shared" si="1"/>
        <v>39398</v>
      </c>
      <c r="F15" s="9">
        <v>0.77083333333333337</v>
      </c>
      <c r="G15" s="8">
        <v>17526</v>
      </c>
      <c r="H15" s="75">
        <f t="shared" si="0"/>
        <v>2</v>
      </c>
      <c r="I15" s="41">
        <f t="shared" si="2"/>
        <v>38698</v>
      </c>
      <c r="J15" s="11">
        <v>0.77083333333333337</v>
      </c>
      <c r="K15" s="10">
        <v>17590</v>
      </c>
      <c r="L15" s="30">
        <f t="shared" si="5"/>
        <v>6</v>
      </c>
      <c r="M15" s="43">
        <f t="shared" si="3"/>
        <v>38364</v>
      </c>
      <c r="N15" s="13" t="s">
        <v>25</v>
      </c>
      <c r="O15" s="12">
        <v>17718</v>
      </c>
      <c r="P15" s="23">
        <f t="shared" si="4"/>
        <v>0</v>
      </c>
    </row>
    <row r="16" spans="1:16" ht="13.5" thickBot="1" x14ac:dyDescent="0.25">
      <c r="C16" s="3"/>
      <c r="D16" s="3"/>
      <c r="E16" s="38">
        <f t="shared" si="1"/>
        <v>39399</v>
      </c>
      <c r="F16" s="9">
        <v>0.77083333333333337</v>
      </c>
      <c r="G16" s="8">
        <v>17527</v>
      </c>
      <c r="H16" s="75">
        <f t="shared" si="0"/>
        <v>1</v>
      </c>
      <c r="I16" s="41">
        <f t="shared" si="2"/>
        <v>38699</v>
      </c>
      <c r="J16" s="11">
        <v>0.77083333333333337</v>
      </c>
      <c r="K16" s="10">
        <v>17598</v>
      </c>
      <c r="L16" s="30">
        <f t="shared" si="5"/>
        <v>8</v>
      </c>
      <c r="M16" s="43">
        <f t="shared" si="3"/>
        <v>38365</v>
      </c>
      <c r="N16" s="13" t="s">
        <v>26</v>
      </c>
      <c r="O16" s="12">
        <v>17718</v>
      </c>
      <c r="P16" s="23">
        <f t="shared" si="4"/>
        <v>0</v>
      </c>
    </row>
    <row r="17" spans="1:16" ht="14.25" thickTop="1" thickBot="1" x14ac:dyDescent="0.25">
      <c r="A17" s="1" t="s">
        <v>58</v>
      </c>
      <c r="B17" s="2">
        <v>18068</v>
      </c>
      <c r="C17" s="106" t="s">
        <v>250</v>
      </c>
      <c r="D17" s="105">
        <v>41395</v>
      </c>
      <c r="E17" s="38">
        <f t="shared" si="1"/>
        <v>39400</v>
      </c>
      <c r="F17" s="9">
        <v>0.77083333333333337</v>
      </c>
      <c r="G17" s="8">
        <v>17527</v>
      </c>
      <c r="H17" s="75">
        <f t="shared" si="0"/>
        <v>0</v>
      </c>
      <c r="I17" s="41">
        <f t="shared" si="2"/>
        <v>38700</v>
      </c>
      <c r="J17" s="11">
        <v>0.77083333333333337</v>
      </c>
      <c r="K17" s="10">
        <v>17605</v>
      </c>
      <c r="L17" s="30">
        <f t="shared" si="5"/>
        <v>7</v>
      </c>
      <c r="M17" s="43">
        <f t="shared" si="3"/>
        <v>38366</v>
      </c>
      <c r="N17" s="13">
        <v>0.77083333333333337</v>
      </c>
      <c r="O17" s="12">
        <v>17729</v>
      </c>
      <c r="P17" s="23">
        <f t="shared" si="4"/>
        <v>11</v>
      </c>
    </row>
    <row r="18" spans="1:16" ht="13.5" thickTop="1" x14ac:dyDescent="0.2">
      <c r="A18" s="1" t="s">
        <v>216</v>
      </c>
      <c r="B18" s="2">
        <f>(B17-('1112'!O4))*B66</f>
        <v>1040.7240610000001</v>
      </c>
      <c r="C18" s="116"/>
      <c r="D18" s="116"/>
      <c r="E18" s="38">
        <f t="shared" si="1"/>
        <v>39401</v>
      </c>
      <c r="F18" s="9">
        <v>0.77083333333333337</v>
      </c>
      <c r="G18" s="8">
        <v>17527</v>
      </c>
      <c r="H18" s="75">
        <f t="shared" si="0"/>
        <v>0</v>
      </c>
      <c r="I18" s="41">
        <f t="shared" si="2"/>
        <v>38701</v>
      </c>
      <c r="J18" s="11" t="s">
        <v>25</v>
      </c>
      <c r="K18" s="10">
        <v>17605</v>
      </c>
      <c r="L18" s="30">
        <f t="shared" si="5"/>
        <v>0</v>
      </c>
      <c r="M18" s="43">
        <f t="shared" si="3"/>
        <v>38367</v>
      </c>
      <c r="N18" s="13">
        <v>0.77083333333333337</v>
      </c>
      <c r="O18" s="12">
        <v>17735</v>
      </c>
      <c r="P18" s="23">
        <f t="shared" si="4"/>
        <v>6</v>
      </c>
    </row>
    <row r="19" spans="1:16" x14ac:dyDescent="0.2">
      <c r="A19" s="1" t="s">
        <v>232</v>
      </c>
      <c r="B19" s="2">
        <f>IF(OR(O4&gt;B17,O4=""),0,B17-K34)</f>
        <v>390</v>
      </c>
      <c r="C19" s="3"/>
      <c r="D19" s="3"/>
      <c r="E19" s="38">
        <f t="shared" si="1"/>
        <v>39402</v>
      </c>
      <c r="F19" s="9">
        <v>0.77083333333333337</v>
      </c>
      <c r="G19" s="8">
        <v>17528</v>
      </c>
      <c r="H19" s="75">
        <f t="shared" si="0"/>
        <v>1</v>
      </c>
      <c r="I19" s="41">
        <f t="shared" si="2"/>
        <v>38702</v>
      </c>
      <c r="J19" s="11" t="s">
        <v>26</v>
      </c>
      <c r="K19" s="10">
        <v>17605</v>
      </c>
      <c r="L19" s="30">
        <f t="shared" si="5"/>
        <v>0</v>
      </c>
      <c r="M19" s="43">
        <f t="shared" si="3"/>
        <v>38368</v>
      </c>
      <c r="N19" s="13">
        <v>0.77083333333333337</v>
      </c>
      <c r="O19" s="12">
        <v>17738</v>
      </c>
      <c r="P19" s="23">
        <f t="shared" si="4"/>
        <v>3</v>
      </c>
    </row>
    <row r="20" spans="1:16" x14ac:dyDescent="0.2">
      <c r="E20" s="38">
        <f t="shared" si="1"/>
        <v>39403</v>
      </c>
      <c r="F20" s="9" t="s">
        <v>25</v>
      </c>
      <c r="G20" s="8">
        <v>17528</v>
      </c>
      <c r="H20" s="75">
        <f t="shared" si="0"/>
        <v>0</v>
      </c>
      <c r="I20" s="41">
        <f t="shared" si="2"/>
        <v>38703</v>
      </c>
      <c r="J20" s="11">
        <v>0.77083333333333337</v>
      </c>
      <c r="K20" s="10">
        <v>17605</v>
      </c>
      <c r="L20" s="30">
        <f t="shared" si="5"/>
        <v>0</v>
      </c>
      <c r="M20" s="43">
        <f t="shared" si="3"/>
        <v>38369</v>
      </c>
      <c r="N20" s="13">
        <v>0.77083333333333337</v>
      </c>
      <c r="O20" s="12">
        <v>17744</v>
      </c>
      <c r="P20" s="23">
        <f t="shared" si="4"/>
        <v>6</v>
      </c>
    </row>
    <row r="21" spans="1:16" x14ac:dyDescent="0.2">
      <c r="A21" s="1" t="s">
        <v>233</v>
      </c>
      <c r="B21" s="2">
        <f>IF(AND(B14&gt;480,B18&lt;480),480-B18,0)</f>
        <v>0</v>
      </c>
      <c r="C21" s="3"/>
      <c r="D21" s="3"/>
      <c r="E21" s="38">
        <f t="shared" si="1"/>
        <v>39404</v>
      </c>
      <c r="F21" s="9" t="s">
        <v>26</v>
      </c>
      <c r="G21" s="8">
        <v>17528</v>
      </c>
      <c r="H21" s="75">
        <f t="shared" si="0"/>
        <v>0</v>
      </c>
      <c r="I21" s="41">
        <f t="shared" si="2"/>
        <v>38704</v>
      </c>
      <c r="J21" s="11">
        <v>0.77083333333333337</v>
      </c>
      <c r="K21" s="10">
        <v>17624</v>
      </c>
      <c r="L21" s="30">
        <f t="shared" si="5"/>
        <v>19</v>
      </c>
      <c r="M21" s="43">
        <f t="shared" si="3"/>
        <v>38370</v>
      </c>
      <c r="N21" s="13">
        <v>0.77083333333333337</v>
      </c>
      <c r="O21" s="12">
        <v>17748</v>
      </c>
      <c r="P21" s="23">
        <f t="shared" si="4"/>
        <v>4</v>
      </c>
    </row>
    <row r="22" spans="1:16" x14ac:dyDescent="0.2">
      <c r="A22" s="1" t="s">
        <v>234</v>
      </c>
      <c r="B22" s="2">
        <f>IF(AND(B15&gt;0,B19=0),(K34-B17-B21)*B66,0)</f>
        <v>0</v>
      </c>
      <c r="C22" s="3"/>
      <c r="D22" s="3"/>
      <c r="E22" s="38">
        <f t="shared" si="1"/>
        <v>39405</v>
      </c>
      <c r="F22" s="9">
        <v>0.77083333333333337</v>
      </c>
      <c r="G22" s="8">
        <v>17531</v>
      </c>
      <c r="H22" s="75">
        <f t="shared" si="0"/>
        <v>3</v>
      </c>
      <c r="I22" s="41">
        <f t="shared" si="2"/>
        <v>38705</v>
      </c>
      <c r="J22" s="11">
        <v>0.77083333333333337</v>
      </c>
      <c r="K22" s="10">
        <v>17631</v>
      </c>
      <c r="L22" s="30">
        <f t="shared" si="5"/>
        <v>7</v>
      </c>
      <c r="M22" s="43">
        <f t="shared" si="3"/>
        <v>38371</v>
      </c>
      <c r="N22" s="13" t="s">
        <v>25</v>
      </c>
      <c r="O22" s="12">
        <v>17748</v>
      </c>
      <c r="P22" s="23">
        <f t="shared" si="4"/>
        <v>0</v>
      </c>
    </row>
    <row r="23" spans="1:16" x14ac:dyDescent="0.2">
      <c r="A23" s="1" t="s">
        <v>235</v>
      </c>
      <c r="B23" s="104">
        <f>IF(AND(B15&lt;120,B19&lt;120),B30,C23)</f>
        <v>0</v>
      </c>
      <c r="C23" s="104">
        <f>IF(AND(B15&gt;120,B15&gt;B19,B19*B66&gt;120),0,120-(B19*B66))</f>
        <v>0</v>
      </c>
      <c r="E23" s="38">
        <f t="shared" si="1"/>
        <v>39406</v>
      </c>
      <c r="F23" s="9">
        <v>0.77083333333333337</v>
      </c>
      <c r="G23" s="8">
        <v>17534</v>
      </c>
      <c r="H23" s="75">
        <f t="shared" si="0"/>
        <v>3</v>
      </c>
      <c r="I23" s="41">
        <f t="shared" si="2"/>
        <v>38706</v>
      </c>
      <c r="J23" s="11">
        <v>0.77083333333333337</v>
      </c>
      <c r="K23" s="10">
        <v>17638</v>
      </c>
      <c r="L23" s="30">
        <f t="shared" si="5"/>
        <v>7</v>
      </c>
      <c r="M23" s="43">
        <f t="shared" si="3"/>
        <v>38372</v>
      </c>
      <c r="N23" s="13" t="s">
        <v>26</v>
      </c>
      <c r="O23" s="12">
        <v>17748</v>
      </c>
      <c r="P23" s="23">
        <f t="shared" si="4"/>
        <v>0</v>
      </c>
    </row>
    <row r="24" spans="1:16" x14ac:dyDescent="0.2">
      <c r="A24" s="1" t="s">
        <v>236</v>
      </c>
      <c r="B24" s="104">
        <f>IF(B15=0,0,B30)</f>
        <v>19.405061000000003</v>
      </c>
      <c r="E24" s="38">
        <f t="shared" si="1"/>
        <v>39407</v>
      </c>
      <c r="F24" s="9">
        <v>0.77083333333333337</v>
      </c>
      <c r="G24" s="8">
        <v>17535</v>
      </c>
      <c r="H24" s="75">
        <f t="shared" si="0"/>
        <v>1</v>
      </c>
      <c r="I24" s="41">
        <f t="shared" si="2"/>
        <v>38707</v>
      </c>
      <c r="J24" s="11">
        <v>0.77083333333333337</v>
      </c>
      <c r="K24" s="10">
        <v>17644</v>
      </c>
      <c r="L24" s="30">
        <f t="shared" si="5"/>
        <v>6</v>
      </c>
      <c r="M24" s="43">
        <f t="shared" si="3"/>
        <v>38373</v>
      </c>
      <c r="N24" s="13">
        <v>0.77083333333333337</v>
      </c>
      <c r="O24" s="12">
        <v>17760</v>
      </c>
      <c r="P24" s="23">
        <f t="shared" si="4"/>
        <v>12</v>
      </c>
    </row>
    <row r="25" spans="1:16" x14ac:dyDescent="0.2">
      <c r="A25" s="1" t="s">
        <v>237</v>
      </c>
      <c r="B25" s="104">
        <f>IF(B44&gt;0,B30-B44-B46,B24)</f>
        <v>19.405061000000003</v>
      </c>
      <c r="E25" s="38">
        <f t="shared" si="1"/>
        <v>39408</v>
      </c>
      <c r="F25" s="9">
        <v>0.77083333333333337</v>
      </c>
      <c r="G25" s="8">
        <v>17537</v>
      </c>
      <c r="H25" s="75">
        <f t="shared" si="0"/>
        <v>2</v>
      </c>
      <c r="I25" s="41">
        <f t="shared" si="2"/>
        <v>38708</v>
      </c>
      <c r="J25" s="11" t="s">
        <v>25</v>
      </c>
      <c r="K25" s="10">
        <v>17644</v>
      </c>
      <c r="L25" s="30">
        <f t="shared" si="5"/>
        <v>0</v>
      </c>
      <c r="M25" s="43">
        <f t="shared" si="3"/>
        <v>38374</v>
      </c>
      <c r="N25" s="13">
        <v>0.77083333333333337</v>
      </c>
      <c r="O25" s="12">
        <v>17767</v>
      </c>
      <c r="P25" s="23">
        <f t="shared" si="4"/>
        <v>7</v>
      </c>
    </row>
    <row r="26" spans="1:16" x14ac:dyDescent="0.2">
      <c r="E26" s="38">
        <f t="shared" si="1"/>
        <v>39409</v>
      </c>
      <c r="F26" s="9">
        <v>0.77083333333333337</v>
      </c>
      <c r="G26" s="8">
        <v>17539</v>
      </c>
      <c r="H26" s="75">
        <f t="shared" si="0"/>
        <v>2</v>
      </c>
      <c r="I26" s="41">
        <f t="shared" si="2"/>
        <v>38709</v>
      </c>
      <c r="J26" s="11" t="s">
        <v>26</v>
      </c>
      <c r="K26" s="10">
        <v>17644</v>
      </c>
      <c r="L26" s="30">
        <f t="shared" si="5"/>
        <v>0</v>
      </c>
      <c r="M26" s="43">
        <f t="shared" si="3"/>
        <v>38375</v>
      </c>
      <c r="N26" s="13">
        <v>0.77083333333333337</v>
      </c>
      <c r="O26" s="12">
        <v>17773</v>
      </c>
      <c r="P26" s="23">
        <f t="shared" si="4"/>
        <v>6</v>
      </c>
    </row>
    <row r="27" spans="1:16" x14ac:dyDescent="0.2">
      <c r="A27" s="1" t="s">
        <v>238</v>
      </c>
      <c r="B27" s="66" t="s">
        <v>8</v>
      </c>
      <c r="C27" s="67" t="s">
        <v>5</v>
      </c>
      <c r="D27" s="67" t="s">
        <v>6</v>
      </c>
      <c r="E27" s="38">
        <f t="shared" si="1"/>
        <v>39410</v>
      </c>
      <c r="F27" s="9" t="s">
        <v>25</v>
      </c>
      <c r="G27" s="8">
        <v>17539</v>
      </c>
      <c r="H27" s="75">
        <f t="shared" si="0"/>
        <v>0</v>
      </c>
      <c r="I27" s="41">
        <f t="shared" si="2"/>
        <v>38710</v>
      </c>
      <c r="J27" s="11">
        <v>0.77083333333333337</v>
      </c>
      <c r="K27" s="10">
        <v>17659</v>
      </c>
      <c r="L27" s="30">
        <f t="shared" si="5"/>
        <v>15</v>
      </c>
      <c r="M27" s="43">
        <f t="shared" si="3"/>
        <v>38376</v>
      </c>
      <c r="N27" s="13">
        <v>0.77083333333333337</v>
      </c>
      <c r="O27" s="12">
        <v>17777</v>
      </c>
      <c r="P27" s="23">
        <f t="shared" si="4"/>
        <v>4</v>
      </c>
    </row>
    <row r="28" spans="1:16" x14ac:dyDescent="0.2">
      <c r="A28" s="5"/>
      <c r="B28" s="2"/>
      <c r="C28" s="3"/>
      <c r="D28" s="3"/>
      <c r="E28" s="38">
        <f t="shared" si="1"/>
        <v>39411</v>
      </c>
      <c r="F28" s="9" t="s">
        <v>26</v>
      </c>
      <c r="G28" s="8">
        <v>17539</v>
      </c>
      <c r="H28" s="75">
        <f t="shared" si="0"/>
        <v>0</v>
      </c>
      <c r="I28" s="46">
        <f t="shared" si="2"/>
        <v>38711</v>
      </c>
      <c r="J28" s="52" t="s">
        <v>31</v>
      </c>
      <c r="K28" s="10">
        <v>17659</v>
      </c>
      <c r="L28" s="30">
        <f t="shared" si="5"/>
        <v>0</v>
      </c>
      <c r="M28" s="43">
        <f t="shared" si="3"/>
        <v>38377</v>
      </c>
      <c r="N28" s="13">
        <v>0.77083333333333337</v>
      </c>
      <c r="O28" s="12">
        <v>17783</v>
      </c>
      <c r="P28" s="23">
        <f t="shared" si="4"/>
        <v>6</v>
      </c>
    </row>
    <row r="29" spans="1:16" x14ac:dyDescent="0.2">
      <c r="A29" s="1" t="s">
        <v>0</v>
      </c>
      <c r="B29" s="2">
        <f ca="1">SUM(TODAY()-D17)</f>
        <v>3625</v>
      </c>
      <c r="C29" s="3"/>
      <c r="D29" s="3"/>
      <c r="E29" s="38">
        <f t="shared" si="1"/>
        <v>39412</v>
      </c>
      <c r="F29" s="9">
        <v>0.77083333333333337</v>
      </c>
      <c r="G29" s="8">
        <v>17540</v>
      </c>
      <c r="H29" s="75">
        <f t="shared" si="0"/>
        <v>1</v>
      </c>
      <c r="I29" s="41">
        <f t="shared" si="2"/>
        <v>38712</v>
      </c>
      <c r="J29" s="51" t="s">
        <v>68</v>
      </c>
      <c r="K29" s="10">
        <v>17659</v>
      </c>
      <c r="L29" s="30">
        <f t="shared" si="5"/>
        <v>0</v>
      </c>
      <c r="M29" s="43">
        <f t="shared" si="3"/>
        <v>38378</v>
      </c>
      <c r="N29" s="13" t="s">
        <v>25</v>
      </c>
      <c r="O29" s="12">
        <v>17783</v>
      </c>
      <c r="P29" s="23">
        <f t="shared" si="4"/>
        <v>0</v>
      </c>
    </row>
    <row r="30" spans="1:16" x14ac:dyDescent="0.2">
      <c r="A30" s="1" t="s">
        <v>85</v>
      </c>
      <c r="B30" s="2">
        <f>(MAX(G4:G33, K5:K34,O5:O34, G38:G66, K38:K68, O38:O67)-B17)*B66</f>
        <v>19.405061000000003</v>
      </c>
      <c r="C30" s="3"/>
      <c r="D30" s="3"/>
      <c r="E30" s="38">
        <f t="shared" si="1"/>
        <v>39413</v>
      </c>
      <c r="F30" s="9">
        <v>0.77083333333333337</v>
      </c>
      <c r="G30" s="8">
        <v>17541</v>
      </c>
      <c r="H30" s="75">
        <f t="shared" si="0"/>
        <v>1</v>
      </c>
      <c r="I30" s="41">
        <f>I29+1</f>
        <v>38713</v>
      </c>
      <c r="J30" s="11">
        <v>0.77083333333333337</v>
      </c>
      <c r="K30" s="10">
        <v>17665</v>
      </c>
      <c r="L30" s="30">
        <f t="shared" si="5"/>
        <v>6</v>
      </c>
      <c r="M30" s="43">
        <f>M29+1</f>
        <v>38379</v>
      </c>
      <c r="N30" s="13" t="s">
        <v>26</v>
      </c>
      <c r="O30" s="12">
        <v>17783</v>
      </c>
      <c r="P30" s="23">
        <f t="shared" si="4"/>
        <v>0</v>
      </c>
    </row>
    <row r="31" spans="1:16" x14ac:dyDescent="0.2">
      <c r="A31" s="1" t="s">
        <v>87</v>
      </c>
      <c r="B31" s="2">
        <f ca="1">B29</f>
        <v>3625</v>
      </c>
      <c r="C31" s="3">
        <v>0.15347</v>
      </c>
      <c r="D31" s="3">
        <f ca="1">(B31*C31)</f>
        <v>556.32875000000001</v>
      </c>
      <c r="E31" s="38">
        <f t="shared" si="1"/>
        <v>39414</v>
      </c>
      <c r="F31" s="9">
        <v>0.77083333333333337</v>
      </c>
      <c r="G31" s="8">
        <v>17543</v>
      </c>
      <c r="H31" s="75">
        <f t="shared" si="0"/>
        <v>2</v>
      </c>
      <c r="I31" s="41">
        <f>I30+1</f>
        <v>38714</v>
      </c>
      <c r="J31" s="11">
        <v>0.77083333333333337</v>
      </c>
      <c r="K31" s="10">
        <v>17670</v>
      </c>
      <c r="L31" s="30">
        <f t="shared" si="5"/>
        <v>5</v>
      </c>
      <c r="M31" s="43">
        <f>M30+1</f>
        <v>38380</v>
      </c>
      <c r="N31" s="13">
        <v>0.77083333333333337</v>
      </c>
      <c r="O31" s="12">
        <v>17794</v>
      </c>
      <c r="P31" s="23">
        <f t="shared" si="4"/>
        <v>11</v>
      </c>
    </row>
    <row r="32" spans="1:16" x14ac:dyDescent="0.2">
      <c r="A32" s="1" t="s">
        <v>54</v>
      </c>
      <c r="B32" s="2">
        <f ca="1">B29</f>
        <v>3625</v>
      </c>
      <c r="C32" s="3">
        <v>0.110219</v>
      </c>
      <c r="D32" s="3">
        <f ca="1">(B32*C32)</f>
        <v>399.54387500000001</v>
      </c>
      <c r="E32" s="38">
        <f t="shared" si="1"/>
        <v>39415</v>
      </c>
      <c r="F32" s="9">
        <v>0.77083333333333337</v>
      </c>
      <c r="G32" s="8">
        <v>17545</v>
      </c>
      <c r="H32" s="75">
        <f t="shared" si="0"/>
        <v>2</v>
      </c>
      <c r="I32" s="41">
        <f>I31+1</f>
        <v>38715</v>
      </c>
      <c r="J32" s="11" t="s">
        <v>25</v>
      </c>
      <c r="K32" s="10">
        <v>17670</v>
      </c>
      <c r="L32" s="30">
        <f t="shared" si="5"/>
        <v>0</v>
      </c>
      <c r="M32" s="43">
        <f>M31+1</f>
        <v>38381</v>
      </c>
      <c r="N32" s="13">
        <v>0.77083333333333337</v>
      </c>
      <c r="O32" s="12">
        <v>17800</v>
      </c>
      <c r="P32" s="23">
        <f t="shared" si="4"/>
        <v>6</v>
      </c>
    </row>
    <row r="33" spans="1:16" x14ac:dyDescent="0.2">
      <c r="A33" s="1" t="s">
        <v>88</v>
      </c>
      <c r="B33" s="2">
        <f ca="1">B29</f>
        <v>3625</v>
      </c>
      <c r="C33" s="68">
        <v>-7.3798000000000002E-2</v>
      </c>
      <c r="D33" s="3">
        <f ca="1">(B33*C33)</f>
        <v>-267.51775000000004</v>
      </c>
      <c r="E33" s="38">
        <f t="shared" si="1"/>
        <v>39416</v>
      </c>
      <c r="F33" s="9">
        <v>0.77083333333333337</v>
      </c>
      <c r="G33" s="8">
        <v>17547</v>
      </c>
      <c r="H33" s="75">
        <f t="shared" si="0"/>
        <v>2</v>
      </c>
      <c r="I33" s="41">
        <f>I32+1</f>
        <v>38716</v>
      </c>
      <c r="J33" s="11" t="s">
        <v>26</v>
      </c>
      <c r="K33" s="10">
        <v>17670</v>
      </c>
      <c r="L33" s="30">
        <f t="shared" si="5"/>
        <v>0</v>
      </c>
      <c r="M33" s="43">
        <f>M32+1</f>
        <v>38382</v>
      </c>
      <c r="N33" s="13">
        <v>0.77083333333333337</v>
      </c>
      <c r="O33" s="12">
        <v>17806</v>
      </c>
      <c r="P33" s="23">
        <f t="shared" si="4"/>
        <v>6</v>
      </c>
    </row>
    <row r="34" spans="1:16" x14ac:dyDescent="0.2">
      <c r="A34" s="1" t="s">
        <v>92</v>
      </c>
      <c r="B34" s="69">
        <f ca="1">B29</f>
        <v>3625</v>
      </c>
      <c r="C34" s="68">
        <f>B63/365</f>
        <v>0</v>
      </c>
      <c r="D34" s="3">
        <f ca="1">(B34*C34)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>
        <v>0.77083333333333337</v>
      </c>
      <c r="K34" s="10">
        <v>17678</v>
      </c>
      <c r="L34" s="30">
        <f t="shared" si="5"/>
        <v>8</v>
      </c>
      <c r="M34" s="43">
        <f>M33+1</f>
        <v>38383</v>
      </c>
      <c r="N34" s="13">
        <v>0.77083333333333337</v>
      </c>
      <c r="O34" s="12">
        <v>17811</v>
      </c>
      <c r="P34" s="23">
        <f t="shared" si="4"/>
        <v>5</v>
      </c>
    </row>
    <row r="35" spans="1:16" ht="13.5" thickBot="1" x14ac:dyDescent="0.25">
      <c r="A35" s="1" t="s">
        <v>22</v>
      </c>
      <c r="B35" s="2">
        <f>B44</f>
        <v>0</v>
      </c>
      <c r="C35" s="3">
        <v>0</v>
      </c>
      <c r="D35" s="3">
        <f>B35*C35</f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106</v>
      </c>
      <c r="B36" s="69">
        <f>B35</f>
        <v>0</v>
      </c>
      <c r="C36" s="3">
        <v>0</v>
      </c>
      <c r="D36" s="3">
        <f>B36*C36</f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15</v>
      </c>
      <c r="B37" s="2">
        <f>IF(B15&gt;0,B47,B45)</f>
        <v>19.405061000000003</v>
      </c>
      <c r="C37" s="3">
        <v>5.9560000000000002E-2</v>
      </c>
      <c r="D37" s="3">
        <f>B37*C37</f>
        <v>1.1557654331600002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98</v>
      </c>
      <c r="B38" s="2">
        <f>B37</f>
        <v>19.405061000000003</v>
      </c>
      <c r="C38" s="3">
        <f>0.0376+0.002474+0.00642+0.0001</f>
        <v>4.6594000000000003E-2</v>
      </c>
      <c r="D38" s="3">
        <f>B38*C38</f>
        <v>0.9041594122340002</v>
      </c>
      <c r="E38" s="38">
        <v>38384</v>
      </c>
      <c r="F38" s="9">
        <v>0.77083333333333337</v>
      </c>
      <c r="G38" s="8">
        <v>17816</v>
      </c>
      <c r="H38" s="75">
        <f>G38-O34</f>
        <v>5</v>
      </c>
      <c r="I38" s="46">
        <v>38412</v>
      </c>
      <c r="J38" s="11">
        <v>0.77083333333333337</v>
      </c>
      <c r="K38" s="10">
        <v>17954</v>
      </c>
      <c r="L38" s="30">
        <f>IF(AND(H69&lt;&gt;"",K38&lt;&gt;""),K38-K37,K38-MAX(G38:G69))</f>
        <v>5</v>
      </c>
      <c r="M38" s="43">
        <v>38443</v>
      </c>
      <c r="N38" s="13">
        <v>0.77083333333333337</v>
      </c>
      <c r="O38" s="12">
        <v>18051</v>
      </c>
      <c r="P38" s="23">
        <f>IF(AND(L69&lt;&gt;"",O38&lt;&gt;""),O38-O37,O38-MAX(K38:K69))</f>
        <v>0</v>
      </c>
    </row>
    <row r="39" spans="1:16" x14ac:dyDescent="0.2">
      <c r="A39" s="1" t="s">
        <v>17</v>
      </c>
      <c r="B39" s="2">
        <f>B46</f>
        <v>0</v>
      </c>
      <c r="C39" s="3">
        <v>5.4514E-2</v>
      </c>
      <c r="D39" s="3">
        <f t="shared" ref="D39:D47" si="6">B39*C39</f>
        <v>0</v>
      </c>
      <c r="E39" s="38">
        <f>E38+1</f>
        <v>38385</v>
      </c>
      <c r="F39" s="9" t="s">
        <v>25</v>
      </c>
      <c r="G39" s="8">
        <v>17816</v>
      </c>
      <c r="H39" s="75">
        <f t="shared" ref="H39:H62" si="7">IF(AND(H38&lt;&gt;"",G39&lt;&gt;""),G39-G38,"")</f>
        <v>0</v>
      </c>
      <c r="I39" s="41">
        <f>I38+1</f>
        <v>38413</v>
      </c>
      <c r="J39" s="11" t="s">
        <v>25</v>
      </c>
      <c r="K39" s="10">
        <v>17954</v>
      </c>
      <c r="L39" s="30">
        <f t="shared" ref="L39:L69" si="8">IF(AND(L38&lt;&gt;"",K39&lt;&gt;""),K39-K38,"")</f>
        <v>0</v>
      </c>
      <c r="M39" s="43">
        <f>M38+1</f>
        <v>38444</v>
      </c>
      <c r="N39" s="13">
        <v>0.77083333333333337</v>
      </c>
      <c r="O39" s="12">
        <v>18060</v>
      </c>
      <c r="P39" s="23">
        <f t="shared" ref="P39:P67" si="9">IF(AND(P38&lt;&gt;"",O39&lt;&gt;""),O39-O38,"")</f>
        <v>9</v>
      </c>
    </row>
    <row r="40" spans="1:16" x14ac:dyDescent="0.2">
      <c r="A40" s="1" t="s">
        <v>99</v>
      </c>
      <c r="B40" s="2">
        <f>B39</f>
        <v>0</v>
      </c>
      <c r="C40" s="3">
        <f>0.0217+0.007+0.00098+0.00642</f>
        <v>3.61E-2</v>
      </c>
      <c r="D40" s="3">
        <f t="shared" si="6"/>
        <v>0</v>
      </c>
      <c r="E40" s="38">
        <f t="shared" ref="E40:E62" si="10">E39+1</f>
        <v>38386</v>
      </c>
      <c r="F40" s="9" t="s">
        <v>26</v>
      </c>
      <c r="G40" s="8">
        <v>17816</v>
      </c>
      <c r="H40" s="75">
        <f t="shared" si="7"/>
        <v>0</v>
      </c>
      <c r="I40" s="41">
        <f t="shared" ref="I40:I62" si="11">I39+1</f>
        <v>38414</v>
      </c>
      <c r="J40" s="11" t="s">
        <v>26</v>
      </c>
      <c r="K40" s="10">
        <v>17954</v>
      </c>
      <c r="L40" s="30">
        <f t="shared" si="8"/>
        <v>0</v>
      </c>
      <c r="M40" s="43">
        <f t="shared" ref="M40:M67" si="12">M39+1</f>
        <v>38445</v>
      </c>
      <c r="N40" s="13">
        <v>0.77083333333333337</v>
      </c>
      <c r="O40" s="12">
        <v>18063</v>
      </c>
      <c r="P40" s="23">
        <f t="shared" si="9"/>
        <v>3</v>
      </c>
    </row>
    <row r="41" spans="1:16" x14ac:dyDescent="0.2">
      <c r="A41" s="1" t="s">
        <v>93</v>
      </c>
      <c r="B41" s="2">
        <f>B44</f>
        <v>0</v>
      </c>
      <c r="C41" s="29">
        <f>B56</f>
        <v>4.3999999999999997E-2</v>
      </c>
      <c r="D41" s="3">
        <f t="shared" si="6"/>
        <v>0</v>
      </c>
      <c r="E41" s="38">
        <f t="shared" si="10"/>
        <v>38387</v>
      </c>
      <c r="F41" s="9">
        <v>0.77083333333333337</v>
      </c>
      <c r="G41" s="8">
        <v>17816</v>
      </c>
      <c r="H41" s="75">
        <f t="shared" si="7"/>
        <v>0</v>
      </c>
      <c r="I41" s="41">
        <f t="shared" si="11"/>
        <v>38415</v>
      </c>
      <c r="J41" s="11">
        <v>0.77083333333333337</v>
      </c>
      <c r="K41" s="10">
        <v>17961</v>
      </c>
      <c r="L41" s="30">
        <f t="shared" si="8"/>
        <v>7</v>
      </c>
      <c r="M41" s="43">
        <f t="shared" si="12"/>
        <v>38446</v>
      </c>
      <c r="N41" s="13">
        <v>0.77083333333333337</v>
      </c>
      <c r="O41" s="12">
        <v>18066</v>
      </c>
      <c r="P41" s="23">
        <f t="shared" si="9"/>
        <v>3</v>
      </c>
    </row>
    <row r="42" spans="1:16" x14ac:dyDescent="0.2">
      <c r="A42" s="1" t="s">
        <v>94</v>
      </c>
      <c r="B42" s="2">
        <f>B37</f>
        <v>19.405061000000003</v>
      </c>
      <c r="C42" s="3">
        <f>B57</f>
        <v>0.17499999999999999</v>
      </c>
      <c r="D42" s="3">
        <f t="shared" si="6"/>
        <v>3.3958856750000006</v>
      </c>
      <c r="E42" s="38">
        <f t="shared" si="10"/>
        <v>38388</v>
      </c>
      <c r="F42" s="9">
        <v>0.77083333333333337</v>
      </c>
      <c r="G42" s="8">
        <v>17831</v>
      </c>
      <c r="H42" s="75">
        <f t="shared" si="7"/>
        <v>15</v>
      </c>
      <c r="I42" s="41">
        <f t="shared" si="11"/>
        <v>38416</v>
      </c>
      <c r="J42" s="11">
        <v>0.77083333333333337</v>
      </c>
      <c r="K42" s="10">
        <v>17965</v>
      </c>
      <c r="L42" s="30">
        <f t="shared" si="8"/>
        <v>4</v>
      </c>
      <c r="M42" s="43">
        <f t="shared" si="12"/>
        <v>38447</v>
      </c>
      <c r="N42" s="13">
        <v>0.77083333333333337</v>
      </c>
      <c r="O42" s="12">
        <v>18069</v>
      </c>
      <c r="P42" s="23">
        <f t="shared" si="9"/>
        <v>3</v>
      </c>
    </row>
    <row r="43" spans="1:16" x14ac:dyDescent="0.2">
      <c r="A43" s="1" t="s">
        <v>95</v>
      </c>
      <c r="B43" s="2">
        <f>B46</f>
        <v>0</v>
      </c>
      <c r="C43" s="70">
        <f>B58</f>
        <v>0.17</v>
      </c>
      <c r="D43" s="3">
        <f t="shared" si="6"/>
        <v>0</v>
      </c>
      <c r="E43" s="38">
        <f t="shared" si="10"/>
        <v>38389</v>
      </c>
      <c r="F43" s="9">
        <v>0.77083333333333337</v>
      </c>
      <c r="G43" s="8">
        <v>17836</v>
      </c>
      <c r="H43" s="75">
        <f t="shared" si="7"/>
        <v>5</v>
      </c>
      <c r="I43" s="41">
        <f t="shared" si="11"/>
        <v>38417</v>
      </c>
      <c r="J43" s="11">
        <v>0.77083333333333337</v>
      </c>
      <c r="K43" s="10">
        <v>17970</v>
      </c>
      <c r="L43" s="30">
        <f t="shared" si="8"/>
        <v>5</v>
      </c>
      <c r="M43" s="43">
        <f t="shared" si="12"/>
        <v>38448</v>
      </c>
      <c r="N43" s="13" t="s">
        <v>25</v>
      </c>
      <c r="O43" s="12">
        <v>18069</v>
      </c>
      <c r="P43" s="23">
        <f t="shared" si="9"/>
        <v>0</v>
      </c>
    </row>
    <row r="44" spans="1:16" x14ac:dyDescent="0.2">
      <c r="A44" s="1" t="s">
        <v>23</v>
      </c>
      <c r="B44" s="2">
        <f>IF(AND(B15&lt;120,B19=0),B15,B23)</f>
        <v>0</v>
      </c>
      <c r="C44" s="3">
        <f>B52</f>
        <v>0.43723899999999999</v>
      </c>
      <c r="D44" s="3">
        <f t="shared" si="6"/>
        <v>0</v>
      </c>
      <c r="E44" s="38">
        <f t="shared" si="10"/>
        <v>38390</v>
      </c>
      <c r="F44" s="9">
        <v>0.77083333333333337</v>
      </c>
      <c r="G44" s="8">
        <v>17841</v>
      </c>
      <c r="H44" s="75">
        <f t="shared" si="7"/>
        <v>5</v>
      </c>
      <c r="I44" s="41">
        <f t="shared" si="11"/>
        <v>38418</v>
      </c>
      <c r="J44" s="11">
        <v>0.77083333333333337</v>
      </c>
      <c r="K44" s="10">
        <v>17974</v>
      </c>
      <c r="L44" s="30">
        <f t="shared" si="8"/>
        <v>4</v>
      </c>
      <c r="M44" s="43">
        <f t="shared" si="12"/>
        <v>38449</v>
      </c>
      <c r="N44" s="13" t="s">
        <v>26</v>
      </c>
      <c r="O44" s="12">
        <v>18069</v>
      </c>
      <c r="P44" s="23">
        <f t="shared" si="9"/>
        <v>0</v>
      </c>
    </row>
    <row r="45" spans="1:16" x14ac:dyDescent="0.2">
      <c r="A45" s="1" t="s">
        <v>223</v>
      </c>
      <c r="B45" s="2">
        <f>IF(AND(G4=B17,B14&lt;480,B18&lt;480),B30,B21)</f>
        <v>0</v>
      </c>
      <c r="C45" s="3">
        <f>B53</f>
        <v>0.44606099999999999</v>
      </c>
      <c r="D45" s="3">
        <f t="shared" si="6"/>
        <v>0</v>
      </c>
      <c r="E45" s="38">
        <f t="shared" si="10"/>
        <v>38391</v>
      </c>
      <c r="F45" s="9">
        <v>0.77083333333333337</v>
      </c>
      <c r="G45" s="8">
        <v>17844</v>
      </c>
      <c r="H45" s="75">
        <f t="shared" si="7"/>
        <v>3</v>
      </c>
      <c r="I45" s="41">
        <f t="shared" si="11"/>
        <v>38419</v>
      </c>
      <c r="J45" s="11">
        <v>0.77083333333333337</v>
      </c>
      <c r="K45" s="10">
        <v>17978</v>
      </c>
      <c r="L45" s="30">
        <f t="shared" si="8"/>
        <v>4</v>
      </c>
      <c r="M45" s="43">
        <f t="shared" si="12"/>
        <v>38450</v>
      </c>
      <c r="N45" s="13">
        <v>0.77083333333333337</v>
      </c>
      <c r="O45" s="12">
        <v>18069</v>
      </c>
      <c r="P45" s="23">
        <f t="shared" si="9"/>
        <v>0</v>
      </c>
    </row>
    <row r="46" spans="1:16" x14ac:dyDescent="0.2">
      <c r="A46" s="1" t="s">
        <v>18</v>
      </c>
      <c r="B46" s="2">
        <f>IF(AND(B15=0,B14&gt;480),INT(B30-B45),B22)</f>
        <v>0</v>
      </c>
      <c r="C46" s="29">
        <f>B54</f>
        <v>0.469136</v>
      </c>
      <c r="D46" s="3">
        <f t="shared" si="6"/>
        <v>0</v>
      </c>
      <c r="E46" s="38">
        <f t="shared" si="10"/>
        <v>38392</v>
      </c>
      <c r="F46" s="9" t="s">
        <v>25</v>
      </c>
      <c r="G46" s="8">
        <v>17844</v>
      </c>
      <c r="H46" s="75">
        <f t="shared" si="7"/>
        <v>0</v>
      </c>
      <c r="I46" s="41">
        <f t="shared" si="11"/>
        <v>38420</v>
      </c>
      <c r="J46" s="11" t="s">
        <v>25</v>
      </c>
      <c r="K46" s="10">
        <v>17978</v>
      </c>
      <c r="L46" s="30">
        <f t="shared" si="8"/>
        <v>0</v>
      </c>
      <c r="M46" s="43">
        <f t="shared" si="12"/>
        <v>38451</v>
      </c>
      <c r="N46" s="13">
        <v>0.77083333333333337</v>
      </c>
      <c r="O46" s="12">
        <v>18078</v>
      </c>
      <c r="P46" s="23">
        <f t="shared" si="9"/>
        <v>9</v>
      </c>
    </row>
    <row r="47" spans="1:16" x14ac:dyDescent="0.2">
      <c r="A47" s="1" t="s">
        <v>242</v>
      </c>
      <c r="B47" s="2">
        <f>IF(AND(B44=120,B17=G4),B30-B44-B45-B46,B25)</f>
        <v>19.405061000000003</v>
      </c>
      <c r="C47" s="3">
        <v>0</v>
      </c>
      <c r="D47" s="3">
        <f t="shared" si="6"/>
        <v>0</v>
      </c>
      <c r="E47" s="38">
        <f t="shared" si="10"/>
        <v>38393</v>
      </c>
      <c r="F47" s="9" t="s">
        <v>26</v>
      </c>
      <c r="G47" s="8">
        <v>17844</v>
      </c>
      <c r="H47" s="75">
        <f t="shared" si="7"/>
        <v>0</v>
      </c>
      <c r="I47" s="41">
        <f t="shared" si="11"/>
        <v>38421</v>
      </c>
      <c r="J47" s="11" t="s">
        <v>26</v>
      </c>
      <c r="K47" s="10">
        <v>17978</v>
      </c>
      <c r="L47" s="30">
        <f t="shared" si="8"/>
        <v>0</v>
      </c>
      <c r="M47" s="43">
        <f t="shared" si="12"/>
        <v>38452</v>
      </c>
      <c r="N47" s="13">
        <v>0.77083333333333337</v>
      </c>
      <c r="O47" s="12">
        <v>18081</v>
      </c>
      <c r="P47" s="23">
        <f t="shared" si="9"/>
        <v>3</v>
      </c>
    </row>
    <row r="48" spans="1:16" x14ac:dyDescent="0.2">
      <c r="E48" s="38">
        <f t="shared" si="10"/>
        <v>38394</v>
      </c>
      <c r="F48" s="9">
        <v>0.77083333333333337</v>
      </c>
      <c r="G48" s="8">
        <v>17844</v>
      </c>
      <c r="H48" s="75">
        <f t="shared" si="7"/>
        <v>0</v>
      </c>
      <c r="I48" s="41">
        <f t="shared" si="11"/>
        <v>38422</v>
      </c>
      <c r="J48" s="11">
        <v>0.77083333333333337</v>
      </c>
      <c r="K48" s="10">
        <v>17978</v>
      </c>
      <c r="L48" s="30">
        <f t="shared" si="8"/>
        <v>0</v>
      </c>
      <c r="M48" s="43">
        <f t="shared" si="12"/>
        <v>38453</v>
      </c>
      <c r="N48" s="13">
        <v>0.77083333333333337</v>
      </c>
      <c r="O48" s="12">
        <v>18083</v>
      </c>
      <c r="P48" s="23">
        <f t="shared" si="9"/>
        <v>2</v>
      </c>
    </row>
    <row r="49" spans="1:16" x14ac:dyDescent="0.2">
      <c r="A49" s="1" t="s">
        <v>96</v>
      </c>
      <c r="B49" s="2"/>
      <c r="C49" s="3"/>
      <c r="D49" s="55">
        <f>(SUM(D35:D38)+SUM(D41:D42)+SUM(D44:D45)+D47)*1.1</f>
        <v>6.0013915724334019</v>
      </c>
      <c r="E49" s="38">
        <f t="shared" si="10"/>
        <v>38395</v>
      </c>
      <c r="F49" s="9">
        <v>0.77083333333333337</v>
      </c>
      <c r="G49" s="8">
        <v>17863</v>
      </c>
      <c r="H49" s="75">
        <f t="shared" si="7"/>
        <v>19</v>
      </c>
      <c r="I49" s="41">
        <f t="shared" si="11"/>
        <v>38423</v>
      </c>
      <c r="J49" s="11">
        <v>0.77083333333333337</v>
      </c>
      <c r="K49" s="10">
        <v>17985</v>
      </c>
      <c r="L49" s="30">
        <f t="shared" si="8"/>
        <v>7</v>
      </c>
      <c r="M49" s="43">
        <f t="shared" si="12"/>
        <v>38454</v>
      </c>
      <c r="N49" s="13">
        <v>0.77083333333333337</v>
      </c>
      <c r="O49" s="12">
        <v>18083</v>
      </c>
      <c r="P49" s="23">
        <f t="shared" si="9"/>
        <v>0</v>
      </c>
    </row>
    <row r="50" spans="1:16" x14ac:dyDescent="0.2">
      <c r="A50" s="1" t="s">
        <v>228</v>
      </c>
      <c r="D50" s="55">
        <f ca="1">(SUM(D31:D34)+SUM(D39:D40)+D43+D46)*1.21</f>
        <v>832.90939874999992</v>
      </c>
      <c r="E50" s="38">
        <f t="shared" si="10"/>
        <v>38396</v>
      </c>
      <c r="F50" s="9">
        <v>0.77083333333333337</v>
      </c>
      <c r="G50" s="8">
        <v>17871</v>
      </c>
      <c r="H50" s="75">
        <f t="shared" si="7"/>
        <v>8</v>
      </c>
      <c r="I50" s="41">
        <f t="shared" si="11"/>
        <v>38424</v>
      </c>
      <c r="J50" s="11">
        <v>0.77083333333333337</v>
      </c>
      <c r="K50" s="10">
        <v>17989</v>
      </c>
      <c r="L50" s="30">
        <f t="shared" si="8"/>
        <v>4</v>
      </c>
      <c r="M50" s="43">
        <f t="shared" si="12"/>
        <v>38455</v>
      </c>
      <c r="N50" s="13" t="s">
        <v>25</v>
      </c>
      <c r="O50" s="12">
        <v>18083</v>
      </c>
      <c r="P50" s="23">
        <f t="shared" si="9"/>
        <v>0</v>
      </c>
    </row>
    <row r="51" spans="1:16" x14ac:dyDescent="0.2">
      <c r="A51" s="1"/>
      <c r="B51" s="2"/>
      <c r="C51" s="3"/>
      <c r="D51" s="3"/>
      <c r="E51" s="38">
        <f t="shared" si="10"/>
        <v>38397</v>
      </c>
      <c r="F51" s="9">
        <v>0.77083333333333337</v>
      </c>
      <c r="G51" s="8">
        <v>17877</v>
      </c>
      <c r="H51" s="75">
        <f t="shared" si="7"/>
        <v>6</v>
      </c>
      <c r="I51" s="41">
        <f t="shared" si="11"/>
        <v>38425</v>
      </c>
      <c r="J51" s="11">
        <v>0.77083333333333337</v>
      </c>
      <c r="K51" s="10">
        <v>17994</v>
      </c>
      <c r="L51" s="30">
        <f t="shared" si="8"/>
        <v>5</v>
      </c>
      <c r="M51" s="43">
        <f t="shared" si="12"/>
        <v>38456</v>
      </c>
      <c r="N51" s="13" t="s">
        <v>26</v>
      </c>
      <c r="O51" s="12">
        <v>18083</v>
      </c>
      <c r="P51" s="23">
        <f t="shared" si="9"/>
        <v>0</v>
      </c>
    </row>
    <row r="52" spans="1:16" x14ac:dyDescent="0.2">
      <c r="A52" s="1" t="s">
        <v>23</v>
      </c>
      <c r="B52" s="26">
        <v>0.43723899999999999</v>
      </c>
      <c r="C52" s="65"/>
      <c r="D52" s="26"/>
      <c r="E52" s="38">
        <f t="shared" si="10"/>
        <v>38398</v>
      </c>
      <c r="F52" s="9">
        <v>0.77083333333333337</v>
      </c>
      <c r="G52" s="8">
        <v>17883</v>
      </c>
      <c r="H52" s="75">
        <f t="shared" si="7"/>
        <v>6</v>
      </c>
      <c r="I52" s="41">
        <f t="shared" si="11"/>
        <v>38426</v>
      </c>
      <c r="J52" s="11">
        <v>0.77083333333333337</v>
      </c>
      <c r="K52" s="10">
        <v>17999</v>
      </c>
      <c r="L52" s="30">
        <f t="shared" si="8"/>
        <v>5</v>
      </c>
      <c r="M52" s="43">
        <f t="shared" si="12"/>
        <v>38457</v>
      </c>
      <c r="N52" s="13">
        <v>0.77083333333333337</v>
      </c>
      <c r="O52" s="12">
        <v>18083</v>
      </c>
      <c r="P52" s="23">
        <f t="shared" si="9"/>
        <v>0</v>
      </c>
    </row>
    <row r="53" spans="1:16" x14ac:dyDescent="0.2">
      <c r="A53" s="1" t="s">
        <v>16</v>
      </c>
      <c r="B53" s="26">
        <v>0.44606099999999999</v>
      </c>
      <c r="C53" s="65"/>
      <c r="D53" s="3"/>
      <c r="E53" s="38">
        <f t="shared" si="10"/>
        <v>38399</v>
      </c>
      <c r="F53" s="9" t="s">
        <v>25</v>
      </c>
      <c r="G53" s="8">
        <v>17883</v>
      </c>
      <c r="H53" s="75">
        <f t="shared" si="7"/>
        <v>0</v>
      </c>
      <c r="I53" s="41">
        <f t="shared" si="11"/>
        <v>38427</v>
      </c>
      <c r="J53" s="11" t="s">
        <v>25</v>
      </c>
      <c r="K53" s="10">
        <v>17999</v>
      </c>
      <c r="L53" s="30">
        <f t="shared" si="8"/>
        <v>0</v>
      </c>
      <c r="M53" s="43">
        <f t="shared" si="12"/>
        <v>38458</v>
      </c>
      <c r="N53" s="13">
        <v>0.77083333333333337</v>
      </c>
      <c r="O53" s="12">
        <v>18086</v>
      </c>
      <c r="P53" s="23">
        <f t="shared" si="9"/>
        <v>3</v>
      </c>
    </row>
    <row r="54" spans="1:16" x14ac:dyDescent="0.2">
      <c r="A54" s="1" t="s">
        <v>18</v>
      </c>
      <c r="B54" s="26">
        <v>0.469136</v>
      </c>
      <c r="C54" s="65"/>
      <c r="D54" s="3"/>
      <c r="E54" s="38">
        <f t="shared" si="10"/>
        <v>38400</v>
      </c>
      <c r="F54" s="9" t="s">
        <v>26</v>
      </c>
      <c r="G54" s="8">
        <v>17883</v>
      </c>
      <c r="H54" s="75">
        <f t="shared" si="7"/>
        <v>0</v>
      </c>
      <c r="I54" s="41">
        <f t="shared" si="11"/>
        <v>38428</v>
      </c>
      <c r="J54" s="11" t="s">
        <v>26</v>
      </c>
      <c r="K54" s="10">
        <v>17999</v>
      </c>
      <c r="L54" s="30">
        <f t="shared" si="8"/>
        <v>0</v>
      </c>
      <c r="M54" s="43">
        <f t="shared" si="12"/>
        <v>38459</v>
      </c>
      <c r="N54" s="13">
        <v>0.77083333333333337</v>
      </c>
      <c r="O54" s="12">
        <v>18086</v>
      </c>
      <c r="P54" s="23">
        <f t="shared" si="9"/>
        <v>0</v>
      </c>
    </row>
    <row r="55" spans="1:16" x14ac:dyDescent="0.2">
      <c r="A55" s="1"/>
      <c r="B55" s="2"/>
      <c r="C55" s="3"/>
      <c r="D55" s="3"/>
      <c r="E55" s="38">
        <f t="shared" si="10"/>
        <v>38401</v>
      </c>
      <c r="F55" s="9">
        <v>0.77083333333333337</v>
      </c>
      <c r="G55" s="8">
        <v>17893</v>
      </c>
      <c r="H55" s="75">
        <f t="shared" si="7"/>
        <v>10</v>
      </c>
      <c r="I55" s="41">
        <f t="shared" si="11"/>
        <v>38429</v>
      </c>
      <c r="J55" s="11">
        <v>0.77083333333333337</v>
      </c>
      <c r="K55" s="10">
        <v>18007</v>
      </c>
      <c r="L55" s="30">
        <f t="shared" si="8"/>
        <v>8</v>
      </c>
      <c r="M55" s="43">
        <f t="shared" si="12"/>
        <v>38460</v>
      </c>
      <c r="N55" s="13">
        <v>0.77083333333333337</v>
      </c>
      <c r="O55" s="12">
        <v>18086</v>
      </c>
      <c r="P55" s="23">
        <f t="shared" si="9"/>
        <v>0</v>
      </c>
    </row>
    <row r="56" spans="1:16" x14ac:dyDescent="0.2">
      <c r="A56" s="1" t="s">
        <v>201</v>
      </c>
      <c r="B56" s="26">
        <v>4.3999999999999997E-2</v>
      </c>
      <c r="C56" s="3"/>
      <c r="D56" s="3"/>
      <c r="E56" s="38">
        <f t="shared" si="10"/>
        <v>38402</v>
      </c>
      <c r="F56" s="9">
        <v>0.77083333333333337</v>
      </c>
      <c r="G56" s="8">
        <v>17899</v>
      </c>
      <c r="H56" s="75">
        <f t="shared" si="7"/>
        <v>6</v>
      </c>
      <c r="I56" s="41">
        <f t="shared" si="11"/>
        <v>38430</v>
      </c>
      <c r="J56" s="11">
        <v>0.77083333333333337</v>
      </c>
      <c r="K56" s="10">
        <v>18012</v>
      </c>
      <c r="L56" s="30">
        <f t="shared" si="8"/>
        <v>5</v>
      </c>
      <c r="M56" s="43">
        <f t="shared" si="12"/>
        <v>38461</v>
      </c>
      <c r="N56" s="13">
        <v>0.77083333333333337</v>
      </c>
      <c r="O56" s="12">
        <v>18086</v>
      </c>
      <c r="P56" s="23">
        <f t="shared" si="9"/>
        <v>0</v>
      </c>
    </row>
    <row r="57" spans="1:16" x14ac:dyDescent="0.2">
      <c r="A57" s="1" t="s">
        <v>202</v>
      </c>
      <c r="B57" s="26">
        <v>0.17499999999999999</v>
      </c>
      <c r="C57" s="3"/>
      <c r="D57" s="3"/>
      <c r="E57" s="38">
        <f t="shared" si="10"/>
        <v>38403</v>
      </c>
      <c r="F57" s="9">
        <v>0.77083333333333337</v>
      </c>
      <c r="G57" s="8">
        <v>17905</v>
      </c>
      <c r="H57" s="75">
        <f t="shared" si="7"/>
        <v>6</v>
      </c>
      <c r="I57" s="41">
        <f t="shared" si="11"/>
        <v>38431</v>
      </c>
      <c r="J57" s="11">
        <v>0.77083333333333337</v>
      </c>
      <c r="K57" s="10">
        <v>18018</v>
      </c>
      <c r="L57" s="30">
        <f t="shared" si="8"/>
        <v>6</v>
      </c>
      <c r="M57" s="43">
        <f t="shared" si="12"/>
        <v>38462</v>
      </c>
      <c r="N57" s="13" t="s">
        <v>25</v>
      </c>
      <c r="O57" s="12">
        <v>18086</v>
      </c>
      <c r="P57" s="23">
        <f t="shared" si="9"/>
        <v>0</v>
      </c>
    </row>
    <row r="58" spans="1:16" x14ac:dyDescent="0.2">
      <c r="A58" s="1" t="s">
        <v>203</v>
      </c>
      <c r="B58" s="26">
        <v>0.17</v>
      </c>
      <c r="C58" s="3"/>
      <c r="D58" s="3"/>
      <c r="E58" s="38">
        <f t="shared" si="10"/>
        <v>38404</v>
      </c>
      <c r="F58" s="9">
        <v>0.77083333333333337</v>
      </c>
      <c r="G58" s="8">
        <v>17905</v>
      </c>
      <c r="H58" s="75">
        <f t="shared" si="7"/>
        <v>0</v>
      </c>
      <c r="I58" s="41">
        <f t="shared" si="11"/>
        <v>38432</v>
      </c>
      <c r="J58" s="11">
        <v>0.77083333333333337</v>
      </c>
      <c r="K58" s="10">
        <v>18022</v>
      </c>
      <c r="L58" s="30">
        <f t="shared" si="8"/>
        <v>4</v>
      </c>
      <c r="M58" s="43">
        <f t="shared" si="12"/>
        <v>38463</v>
      </c>
      <c r="N58" s="13" t="s">
        <v>26</v>
      </c>
      <c r="O58" s="12">
        <v>18086</v>
      </c>
      <c r="P58" s="23">
        <f t="shared" si="9"/>
        <v>0</v>
      </c>
    </row>
    <row r="59" spans="1:16" x14ac:dyDescent="0.2">
      <c r="A59" s="1"/>
      <c r="B59" s="2"/>
      <c r="C59" s="3"/>
      <c r="D59" s="3"/>
      <c r="E59" s="38">
        <f t="shared" si="10"/>
        <v>38405</v>
      </c>
      <c r="F59" s="9">
        <v>0.77083333333333337</v>
      </c>
      <c r="G59" s="8">
        <v>17918</v>
      </c>
      <c r="H59" s="75">
        <f t="shared" si="7"/>
        <v>13</v>
      </c>
      <c r="I59" s="41">
        <f t="shared" si="11"/>
        <v>38433</v>
      </c>
      <c r="J59" s="11">
        <v>0.77083333333333337</v>
      </c>
      <c r="K59" s="10">
        <v>18026</v>
      </c>
      <c r="L59" s="30">
        <f t="shared" si="8"/>
        <v>4</v>
      </c>
      <c r="M59" s="43">
        <f t="shared" si="12"/>
        <v>38464</v>
      </c>
      <c r="N59" s="13">
        <v>0.77083333333333337</v>
      </c>
      <c r="O59" s="12">
        <v>18087</v>
      </c>
      <c r="P59" s="23">
        <f t="shared" si="9"/>
        <v>1</v>
      </c>
    </row>
    <row r="60" spans="1:16" x14ac:dyDescent="0.2">
      <c r="A60" s="1" t="s">
        <v>90</v>
      </c>
      <c r="B60" s="26">
        <v>56.17</v>
      </c>
      <c r="C60" s="3" t="s">
        <v>86</v>
      </c>
      <c r="D60" s="3"/>
      <c r="E60" s="38">
        <f t="shared" si="10"/>
        <v>38406</v>
      </c>
      <c r="F60" s="9" t="s">
        <v>25</v>
      </c>
      <c r="G60" s="8">
        <v>17918</v>
      </c>
      <c r="H60" s="75">
        <f t="shared" si="7"/>
        <v>0</v>
      </c>
      <c r="I60" s="41">
        <f t="shared" si="11"/>
        <v>38434</v>
      </c>
      <c r="J60" s="11" t="s">
        <v>25</v>
      </c>
      <c r="K60" s="10">
        <v>18030</v>
      </c>
      <c r="L60" s="30">
        <f t="shared" si="8"/>
        <v>4</v>
      </c>
      <c r="M60" s="43">
        <f t="shared" si="12"/>
        <v>38465</v>
      </c>
      <c r="N60" s="13">
        <v>0.77083333333333337</v>
      </c>
      <c r="O60" s="12">
        <v>18087</v>
      </c>
      <c r="P60" s="23">
        <f t="shared" si="9"/>
        <v>0</v>
      </c>
    </row>
    <row r="61" spans="1:16" x14ac:dyDescent="0.2">
      <c r="A61" s="1" t="s">
        <v>54</v>
      </c>
      <c r="B61" s="26">
        <v>40.340000000000003</v>
      </c>
      <c r="C61" s="3" t="s">
        <v>86</v>
      </c>
      <c r="D61" s="3"/>
      <c r="E61" s="38">
        <f t="shared" si="10"/>
        <v>38407</v>
      </c>
      <c r="F61" s="9" t="s">
        <v>26</v>
      </c>
      <c r="G61" s="8">
        <v>17918</v>
      </c>
      <c r="H61" s="75">
        <f t="shared" si="7"/>
        <v>0</v>
      </c>
      <c r="I61" s="41">
        <f t="shared" si="11"/>
        <v>38435</v>
      </c>
      <c r="J61" s="11" t="s">
        <v>26</v>
      </c>
      <c r="K61" s="10">
        <v>18030</v>
      </c>
      <c r="L61" s="30">
        <f t="shared" si="8"/>
        <v>0</v>
      </c>
      <c r="M61" s="43">
        <f t="shared" si="12"/>
        <v>38466</v>
      </c>
      <c r="N61" s="13">
        <v>0.77083333333333337</v>
      </c>
      <c r="O61" s="12">
        <v>18087</v>
      </c>
      <c r="P61" s="23">
        <f t="shared" si="9"/>
        <v>0</v>
      </c>
    </row>
    <row r="62" spans="1:16" x14ac:dyDescent="0.2">
      <c r="A62" s="1" t="s">
        <v>89</v>
      </c>
      <c r="B62" s="26">
        <v>-27.01</v>
      </c>
      <c r="C62" s="3" t="s">
        <v>86</v>
      </c>
      <c r="D62" s="3"/>
      <c r="E62" s="38">
        <f t="shared" si="10"/>
        <v>38408</v>
      </c>
      <c r="F62" s="9">
        <v>0.77083333333333337</v>
      </c>
      <c r="G62" s="8">
        <v>17931</v>
      </c>
      <c r="H62" s="75">
        <f t="shared" si="7"/>
        <v>13</v>
      </c>
      <c r="I62" s="41">
        <f t="shared" si="11"/>
        <v>38436</v>
      </c>
      <c r="J62" s="11">
        <v>0.77083333333333337</v>
      </c>
      <c r="K62" s="10">
        <v>18036</v>
      </c>
      <c r="L62" s="30">
        <f t="shared" si="8"/>
        <v>6</v>
      </c>
      <c r="M62" s="43">
        <f t="shared" si="12"/>
        <v>38467</v>
      </c>
      <c r="N62" s="13">
        <v>0.77083333333333337</v>
      </c>
      <c r="O62" s="12">
        <v>18087</v>
      </c>
      <c r="P62" s="23">
        <f t="shared" si="9"/>
        <v>0</v>
      </c>
    </row>
    <row r="63" spans="1:16" x14ac:dyDescent="0.2">
      <c r="A63" s="1" t="s">
        <v>91</v>
      </c>
      <c r="B63" s="26">
        <v>0</v>
      </c>
      <c r="C63" s="3" t="s">
        <v>86</v>
      </c>
      <c r="D63" s="3"/>
      <c r="E63" s="38">
        <v>38774</v>
      </c>
      <c r="F63" s="9">
        <v>0.77083333333333337</v>
      </c>
      <c r="G63" s="8">
        <v>17939</v>
      </c>
      <c r="H63" s="75">
        <f>IF(AND(H62&lt;&gt;"",G63&lt;&gt;""),G63-G62,"")</f>
        <v>8</v>
      </c>
      <c r="I63" s="41">
        <v>38802</v>
      </c>
      <c r="J63" s="11">
        <v>0.77083333333333337</v>
      </c>
      <c r="K63" s="10">
        <v>18042</v>
      </c>
      <c r="L63" s="30">
        <f t="shared" si="8"/>
        <v>6</v>
      </c>
      <c r="M63" s="43">
        <f t="shared" si="12"/>
        <v>38468</v>
      </c>
      <c r="N63" s="13">
        <v>0.77083333333333337</v>
      </c>
      <c r="O63" s="12">
        <v>18087</v>
      </c>
      <c r="P63" s="23">
        <f t="shared" si="9"/>
        <v>0</v>
      </c>
    </row>
    <row r="64" spans="1:16" x14ac:dyDescent="0.2">
      <c r="A64" s="1"/>
      <c r="B64" s="2"/>
      <c r="C64" s="3"/>
      <c r="D64" s="3"/>
      <c r="E64" s="38">
        <v>38775</v>
      </c>
      <c r="F64" s="9">
        <v>0.77083333333333337</v>
      </c>
      <c r="G64" s="8">
        <v>17944</v>
      </c>
      <c r="H64" s="75">
        <f>IF(AND(H63&lt;&gt;"",G64&lt;&gt;""),G64-G63,"")</f>
        <v>5</v>
      </c>
      <c r="I64" s="41">
        <v>38803</v>
      </c>
      <c r="J64" s="11">
        <v>0.77083333333333337</v>
      </c>
      <c r="K64" s="10">
        <v>18047</v>
      </c>
      <c r="L64" s="30">
        <f t="shared" si="8"/>
        <v>5</v>
      </c>
      <c r="M64" s="43">
        <f t="shared" si="12"/>
        <v>38469</v>
      </c>
      <c r="N64" s="13" t="s">
        <v>25</v>
      </c>
      <c r="O64" s="12">
        <v>18087</v>
      </c>
      <c r="P64" s="23">
        <f t="shared" si="9"/>
        <v>0</v>
      </c>
    </row>
    <row r="65" spans="1:16" x14ac:dyDescent="0.2">
      <c r="A65" s="1" t="s">
        <v>100</v>
      </c>
      <c r="B65" s="71">
        <f>SUM(B60:B63)</f>
        <v>69.5</v>
      </c>
      <c r="C65" s="3" t="s">
        <v>86</v>
      </c>
      <c r="E65" s="38">
        <v>38776</v>
      </c>
      <c r="F65" s="9">
        <v>0.77083333333333337</v>
      </c>
      <c r="G65" s="8">
        <v>17949</v>
      </c>
      <c r="H65" s="75">
        <f>IF(AND(H64&lt;&gt;"",G65&lt;&gt;""),G65-G64,"")</f>
        <v>5</v>
      </c>
      <c r="I65" s="41">
        <v>38804</v>
      </c>
      <c r="J65" s="11">
        <v>0.77083333333333337</v>
      </c>
      <c r="K65" s="10">
        <v>18051</v>
      </c>
      <c r="L65" s="30">
        <f t="shared" si="8"/>
        <v>4</v>
      </c>
      <c r="M65" s="43">
        <f t="shared" si="12"/>
        <v>38470</v>
      </c>
      <c r="N65" s="13" t="s">
        <v>26</v>
      </c>
      <c r="O65" s="12">
        <v>18087</v>
      </c>
      <c r="P65" s="23">
        <f t="shared" si="9"/>
        <v>0</v>
      </c>
    </row>
    <row r="66" spans="1:16" x14ac:dyDescent="0.2">
      <c r="A66" s="1" t="s">
        <v>194</v>
      </c>
      <c r="B66" s="102">
        <v>1.0213190000000001</v>
      </c>
      <c r="E66" s="38"/>
      <c r="F66" s="9"/>
      <c r="G66" s="8"/>
      <c r="H66" s="75" t="str">
        <f>IF(AND(H65&lt;&gt;"",G66&lt;&gt;""),G66-G65,"")</f>
        <v/>
      </c>
      <c r="I66" s="41">
        <v>38805</v>
      </c>
      <c r="J66" s="11">
        <v>0.77083333333333337</v>
      </c>
      <c r="K66" s="10">
        <v>18051</v>
      </c>
      <c r="L66" s="30">
        <f t="shared" si="8"/>
        <v>0</v>
      </c>
      <c r="M66" s="43">
        <f t="shared" si="12"/>
        <v>38471</v>
      </c>
      <c r="N66" s="13">
        <v>0.77083333333333337</v>
      </c>
      <c r="O66" s="12">
        <v>18087</v>
      </c>
      <c r="P66" s="23">
        <f t="shared" si="9"/>
        <v>0</v>
      </c>
    </row>
    <row r="67" spans="1:16" x14ac:dyDescent="0.2">
      <c r="E67" s="38"/>
      <c r="F67" s="8"/>
      <c r="G67" s="8"/>
      <c r="H67" s="75" t="str">
        <f>IF(AND(H61&lt;&gt;"",G67&lt;&gt;""),G67-G61,"")</f>
        <v/>
      </c>
      <c r="I67" s="41">
        <v>38806</v>
      </c>
      <c r="J67" s="11" t="s">
        <v>25</v>
      </c>
      <c r="K67" s="10">
        <v>18051</v>
      </c>
      <c r="L67" s="30">
        <f t="shared" si="8"/>
        <v>0</v>
      </c>
      <c r="M67" s="43">
        <f t="shared" si="12"/>
        <v>38472</v>
      </c>
      <c r="N67" s="13">
        <v>0.77083333333333337</v>
      </c>
      <c r="O67" s="12">
        <v>18087</v>
      </c>
      <c r="P67" s="23">
        <f t="shared" si="9"/>
        <v>0</v>
      </c>
    </row>
    <row r="68" spans="1:16" x14ac:dyDescent="0.2">
      <c r="A68" s="72" t="s">
        <v>24</v>
      </c>
      <c r="B68" s="55">
        <f ca="1">B2</f>
        <v>838.91079032243329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 t="s">
        <v>26</v>
      </c>
      <c r="K68" s="10">
        <v>18051</v>
      </c>
      <c r="L68" s="30">
        <f t="shared" si="8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A69" s="1"/>
      <c r="B69" s="2"/>
      <c r="C69" s="3"/>
      <c r="D69" s="3"/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8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/>
  </sheetData>
  <mergeCells count="4">
    <mergeCell ref="C5:D5"/>
    <mergeCell ref="C6:D6"/>
    <mergeCell ref="C7:D7"/>
    <mergeCell ref="C8:D8"/>
  </mergeCells>
  <conditionalFormatting sqref="P4">
    <cfRule type="cellIs" dxfId="22" priority="8" stopIfTrue="1" operator="lessThan">
      <formula>0</formula>
    </cfRule>
    <cfRule type="cellIs" dxfId="21" priority="9" stopIfTrue="1" operator="lessThan">
      <formula>0</formula>
    </cfRule>
  </conditionalFormatting>
  <conditionalFormatting sqref="L38">
    <cfRule type="cellIs" dxfId="20" priority="7" stopIfTrue="1" operator="lessThan">
      <formula>0</formula>
    </cfRule>
  </conditionalFormatting>
  <conditionalFormatting sqref="H38">
    <cfRule type="cellIs" dxfId="19" priority="6" stopIfTrue="1" operator="lessThan">
      <formula>0</formula>
    </cfRule>
  </conditionalFormatting>
  <conditionalFormatting sqref="P38">
    <cfRule type="cellIs" dxfId="18" priority="5" stopIfTrue="1" operator="lessThan">
      <formula>0</formula>
    </cfRule>
  </conditionalFormatting>
  <conditionalFormatting sqref="B29">
    <cfRule type="cellIs" dxfId="17" priority="4" stopIfTrue="1" operator="greaterThan">
      <formula>366</formula>
    </cfRule>
  </conditionalFormatting>
  <conditionalFormatting sqref="B31:B34">
    <cfRule type="cellIs" dxfId="16" priority="2" stopIfTrue="1" operator="greaterThan">
      <formula>366</formula>
    </cfRule>
    <cfRule type="cellIs" dxfId="15" priority="3" stopIfTrue="1" operator="greaterThan">
      <formula>40472</formula>
    </cfRule>
  </conditionalFormatting>
  <conditionalFormatting sqref="B2">
    <cfRule type="containsText" dxfId="14" priority="1" stopIfTrue="1" operator="containsText" text="#VALORE!">
      <formula>NOT(ISERROR(SEARCH("#VALORE!",B2)))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H24" sqref="H24"/>
    </sheetView>
  </sheetViews>
  <sheetFormatPr defaultRowHeight="12.75" x14ac:dyDescent="0.2"/>
  <cols>
    <col min="1" max="1" width="26.140625" bestFit="1" customWidth="1"/>
    <col min="2" max="2" width="9" customWidth="1"/>
    <col min="3" max="3" width="8.42578125" customWidth="1"/>
    <col min="4" max="4" width="10.42578125" bestFit="1" customWidth="1"/>
    <col min="5" max="5" width="9.28515625" bestFit="1" customWidth="1"/>
    <col min="6" max="6" width="5.5703125" customWidth="1"/>
    <col min="7" max="7" width="6.7109375" customWidth="1"/>
    <col min="8" max="8" width="4.28515625" customWidth="1"/>
    <col min="9" max="9" width="8.7109375" customWidth="1"/>
    <col min="10" max="10" width="5.5703125" customWidth="1"/>
    <col min="11" max="11" width="6.7109375" customWidth="1"/>
    <col min="12" max="12" width="4.28515625" customWidth="1"/>
    <col min="13" max="13" width="7.5703125" customWidth="1"/>
    <col min="14" max="14" width="5.5703125" customWidth="1"/>
    <col min="15" max="15" width="6.7109375" customWidth="1"/>
    <col min="16" max="16" width="4.28515625" customWidth="1"/>
  </cols>
  <sheetData>
    <row r="1" spans="1:16" ht="13.5" thickBot="1" x14ac:dyDescent="0.25">
      <c r="A1" s="1"/>
      <c r="B1" s="2"/>
      <c r="C1" s="3"/>
      <c r="D1" s="3"/>
      <c r="E1" s="36"/>
      <c r="F1" s="1"/>
      <c r="G1" s="1"/>
      <c r="H1" s="73"/>
      <c r="I1" s="40"/>
      <c r="J1" s="34"/>
      <c r="K1" s="56"/>
      <c r="L1" s="14"/>
      <c r="M1" s="40"/>
      <c r="N1" s="14"/>
      <c r="O1" s="14"/>
      <c r="P1" s="14"/>
    </row>
    <row r="2" spans="1:16" ht="13.5" thickTop="1" x14ac:dyDescent="0.2">
      <c r="A2" s="1" t="s">
        <v>24</v>
      </c>
      <c r="B2" s="55">
        <f ca="1">IF(D48="",D49,D48+D49)</f>
        <v>922.5307492477898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 t="s">
        <v>212</v>
      </c>
      <c r="B3" s="26">
        <v>550.12</v>
      </c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/>
      <c r="B4" s="2"/>
      <c r="C4" s="3"/>
      <c r="D4" s="3"/>
      <c r="E4" s="38">
        <v>39387</v>
      </c>
      <c r="F4" s="9">
        <v>0.77083333333333337</v>
      </c>
      <c r="G4" s="8">
        <v>16822</v>
      </c>
      <c r="H4" s="76">
        <f>IF(G4-B16&lt;0,0,0)</f>
        <v>0</v>
      </c>
      <c r="I4" s="46">
        <v>38687</v>
      </c>
      <c r="J4" s="11">
        <v>0.77083333333333337</v>
      </c>
      <c r="K4" s="10">
        <v>16910</v>
      </c>
      <c r="L4" s="30">
        <f>IF(AND(H35&lt;&gt;"",K4&lt;&gt;""),K4-K3,K4-MAX(G4:G35))</f>
        <v>6</v>
      </c>
      <c r="M4" s="43">
        <v>38353</v>
      </c>
      <c r="N4" s="13" t="s">
        <v>33</v>
      </c>
      <c r="O4" s="12">
        <v>17049</v>
      </c>
      <c r="P4" s="23">
        <f>IF(AND(L35&lt;&gt;"",O4&lt;&gt;""),O4-O3,O4-MAX(K4:K34))</f>
        <v>0</v>
      </c>
    </row>
    <row r="5" spans="1:16" x14ac:dyDescent="0.2">
      <c r="A5" s="1" t="s">
        <v>225</v>
      </c>
      <c r="B5" s="26">
        <v>83.66</v>
      </c>
      <c r="C5" s="112"/>
      <c r="D5" s="113"/>
      <c r="E5" s="38">
        <f>E4+1</f>
        <v>39388</v>
      </c>
      <c r="F5" s="9">
        <v>0.77083333333333337</v>
      </c>
      <c r="G5" s="8">
        <v>16831</v>
      </c>
      <c r="H5" s="75">
        <f t="shared" ref="H5:H35" si="0">IF(AND(H4&lt;&gt;"",G5&lt;&gt;""),G5-G4,"")</f>
        <v>9</v>
      </c>
      <c r="I5" s="41">
        <f>I4+1</f>
        <v>38688</v>
      </c>
      <c r="J5" s="11">
        <v>0.77083333333333337</v>
      </c>
      <c r="K5" s="10">
        <v>16915</v>
      </c>
      <c r="L5" s="30">
        <f>IF(AND(L4&lt;&gt;"",K5&lt;&gt;""),K5-K4,"")</f>
        <v>5</v>
      </c>
      <c r="M5" s="43">
        <f>M4+1</f>
        <v>38354</v>
      </c>
      <c r="N5" s="13">
        <v>0.77083333333333337</v>
      </c>
      <c r="O5" s="12">
        <v>17062</v>
      </c>
      <c r="P5" s="23">
        <f>IF(AND(P4&lt;&gt;"",O5&lt;&gt;""),O5-O4,"")</f>
        <v>13</v>
      </c>
    </row>
    <row r="6" spans="1:16" x14ac:dyDescent="0.2">
      <c r="A6" s="1" t="s">
        <v>227</v>
      </c>
      <c r="B6" s="26">
        <v>108</v>
      </c>
      <c r="C6" s="131"/>
      <c r="D6" s="132"/>
      <c r="E6" s="38">
        <f t="shared" ref="E6:E33" si="1">E5+1</f>
        <v>39389</v>
      </c>
      <c r="F6" s="9">
        <v>0.77083333333333337</v>
      </c>
      <c r="G6" s="8">
        <v>16833</v>
      </c>
      <c r="H6" s="75">
        <f t="shared" si="0"/>
        <v>2</v>
      </c>
      <c r="I6" s="41">
        <f t="shared" ref="I6:I29" si="2">I5+1</f>
        <v>38689</v>
      </c>
      <c r="J6" s="11" t="s">
        <v>25</v>
      </c>
      <c r="K6" s="10">
        <v>16915</v>
      </c>
      <c r="L6" s="30">
        <f>IF(AND(L5&lt;&gt;"",K6&lt;&gt;""),K6-K5,"")</f>
        <v>0</v>
      </c>
      <c r="M6" s="43">
        <f t="shared" ref="M6:M29" si="3">M5+1</f>
        <v>38355</v>
      </c>
      <c r="N6" s="13">
        <v>0.77083333333333337</v>
      </c>
      <c r="O6" s="12">
        <v>17070</v>
      </c>
      <c r="P6" s="23">
        <f t="shared" ref="P6:P35" si="4">IF(AND(P5&lt;&gt;"",O6&lt;&gt;""),O6-O5,"")</f>
        <v>8</v>
      </c>
    </row>
    <row r="7" spans="1:16" x14ac:dyDescent="0.2">
      <c r="A7" s="1" t="s">
        <v>229</v>
      </c>
      <c r="B7" s="26">
        <v>0</v>
      </c>
      <c r="E7" s="38">
        <f t="shared" si="1"/>
        <v>39390</v>
      </c>
      <c r="F7" s="9">
        <v>0.77083333333333337</v>
      </c>
      <c r="G7" s="8">
        <v>16834</v>
      </c>
      <c r="H7" s="75">
        <f t="shared" si="0"/>
        <v>1</v>
      </c>
      <c r="I7" s="41">
        <f t="shared" si="2"/>
        <v>38690</v>
      </c>
      <c r="J7" s="11" t="s">
        <v>26</v>
      </c>
      <c r="K7" s="10">
        <v>16915</v>
      </c>
      <c r="L7" s="30">
        <f>IF(AND(L6&lt;&gt;"",K7&lt;&gt;""),K7-K6,"")</f>
        <v>0</v>
      </c>
      <c r="M7" s="43">
        <f t="shared" si="3"/>
        <v>38356</v>
      </c>
      <c r="N7" s="13">
        <v>0.77083333333333337</v>
      </c>
      <c r="O7" s="12">
        <v>17077</v>
      </c>
      <c r="P7" s="23">
        <f t="shared" si="4"/>
        <v>7</v>
      </c>
    </row>
    <row r="8" spans="1:16" x14ac:dyDescent="0.2">
      <c r="A8" s="1" t="s">
        <v>230</v>
      </c>
      <c r="B8" s="26">
        <v>198.18</v>
      </c>
      <c r="C8" s="133"/>
      <c r="D8" s="133"/>
      <c r="E8" s="38">
        <f t="shared" si="1"/>
        <v>39391</v>
      </c>
      <c r="F8" s="9" t="s">
        <v>25</v>
      </c>
      <c r="G8" s="8">
        <v>16834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16922</v>
      </c>
      <c r="L8" s="30">
        <f>IF(AND(L7&lt;&gt;"",K8&lt;&gt;""),K8-K7,"")</f>
        <v>7</v>
      </c>
      <c r="M8" s="43">
        <f t="shared" si="3"/>
        <v>38357</v>
      </c>
      <c r="N8" s="13">
        <v>0.77083333333333337</v>
      </c>
      <c r="O8" s="12">
        <v>17084</v>
      </c>
      <c r="P8" s="23">
        <f t="shared" si="4"/>
        <v>7</v>
      </c>
    </row>
    <row r="9" spans="1:16" x14ac:dyDescent="0.2">
      <c r="A9" s="1" t="s">
        <v>231</v>
      </c>
      <c r="B9" s="26">
        <v>215.18</v>
      </c>
      <c r="E9" s="38">
        <f t="shared" si="1"/>
        <v>39392</v>
      </c>
      <c r="F9" s="9" t="s">
        <v>26</v>
      </c>
      <c r="G9" s="8">
        <v>16834</v>
      </c>
      <c r="H9" s="75">
        <f t="shared" si="0"/>
        <v>0</v>
      </c>
      <c r="I9" s="41">
        <f t="shared" si="2"/>
        <v>38692</v>
      </c>
      <c r="J9" s="11">
        <v>0.77083333333333337</v>
      </c>
      <c r="K9" s="10">
        <v>16926</v>
      </c>
      <c r="L9" s="30">
        <f>IF(AND(L8&lt;&gt;"",K9&lt;&gt;""),K9-K8,"")</f>
        <v>4</v>
      </c>
      <c r="M9" s="43">
        <f t="shared" si="3"/>
        <v>38358</v>
      </c>
      <c r="N9" s="13" t="s">
        <v>83</v>
      </c>
      <c r="O9" s="12">
        <v>17084</v>
      </c>
      <c r="P9" s="23">
        <f t="shared" si="4"/>
        <v>0</v>
      </c>
    </row>
    <row r="10" spans="1:16" x14ac:dyDescent="0.2">
      <c r="E10" s="38">
        <f t="shared" si="1"/>
        <v>39393</v>
      </c>
      <c r="F10" s="9">
        <v>0.77083333333333337</v>
      </c>
      <c r="G10" s="8">
        <v>16834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16931</v>
      </c>
      <c r="L10" s="30">
        <f t="shared" ref="L10:L35" si="5">IF(AND(L9&lt;&gt;"",K10&lt;&gt;""),K10-K9,"")</f>
        <v>5</v>
      </c>
      <c r="M10" s="43">
        <f t="shared" si="3"/>
        <v>38359</v>
      </c>
      <c r="N10" s="13" t="s">
        <v>25</v>
      </c>
      <c r="O10" s="12">
        <v>17084</v>
      </c>
      <c r="P10" s="23">
        <f t="shared" si="4"/>
        <v>0</v>
      </c>
    </row>
    <row r="11" spans="1:16" x14ac:dyDescent="0.2">
      <c r="A11" s="63" t="s">
        <v>213</v>
      </c>
      <c r="B11" s="64">
        <f>IF(B5="",B2,(SUM(B5:B10)))</f>
        <v>605.02</v>
      </c>
      <c r="C11" s="3"/>
      <c r="D11" s="3"/>
      <c r="E11" s="38">
        <f t="shared" si="1"/>
        <v>39394</v>
      </c>
      <c r="F11" s="9">
        <v>0.77083333333333337</v>
      </c>
      <c r="G11" s="8">
        <v>16834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16931</v>
      </c>
      <c r="L11" s="30">
        <f t="shared" si="5"/>
        <v>0</v>
      </c>
      <c r="M11" s="43">
        <f t="shared" si="3"/>
        <v>38360</v>
      </c>
      <c r="N11" s="13" t="s">
        <v>26</v>
      </c>
      <c r="O11" s="12">
        <v>17084</v>
      </c>
      <c r="P11" s="23">
        <f t="shared" si="4"/>
        <v>0</v>
      </c>
    </row>
    <row r="12" spans="1:16" x14ac:dyDescent="0.2">
      <c r="A12" s="1" t="s">
        <v>214</v>
      </c>
      <c r="B12" s="27">
        <f>(MAX(G3:G33,K4:K34,O4:O34,G38:G65,K38:K68,O38:O67)-MIN(G4,G35))</f>
        <v>690</v>
      </c>
      <c r="C12" s="3"/>
      <c r="D12" s="3"/>
      <c r="E12" s="38">
        <f t="shared" si="1"/>
        <v>39395</v>
      </c>
      <c r="F12" s="9">
        <v>0.77083333333333337</v>
      </c>
      <c r="G12" s="8">
        <v>16834</v>
      </c>
      <c r="H12" s="75">
        <f t="shared" si="0"/>
        <v>0</v>
      </c>
      <c r="I12" s="41">
        <f t="shared" si="2"/>
        <v>38695</v>
      </c>
      <c r="J12" s="11">
        <v>0.77083333333333337</v>
      </c>
      <c r="K12" s="10">
        <v>16936</v>
      </c>
      <c r="L12" s="30">
        <f t="shared" si="5"/>
        <v>5</v>
      </c>
      <c r="M12" s="43">
        <f t="shared" si="3"/>
        <v>38361</v>
      </c>
      <c r="N12" s="13">
        <v>0.77083333333333337</v>
      </c>
      <c r="O12" s="12">
        <v>17084</v>
      </c>
      <c r="P12" s="23">
        <f t="shared" si="4"/>
        <v>0</v>
      </c>
    </row>
    <row r="13" spans="1:16" x14ac:dyDescent="0.2">
      <c r="A13" s="1" t="s">
        <v>111</v>
      </c>
      <c r="B13" s="2">
        <f>(MAX(G4:G33,K4:K34)-'1011'!L34)*B65</f>
        <v>688.36900600000001</v>
      </c>
      <c r="C13" s="3"/>
      <c r="D13" s="3"/>
      <c r="E13" s="38">
        <f t="shared" si="1"/>
        <v>39396</v>
      </c>
      <c r="F13" s="9">
        <v>0.77083333333333337</v>
      </c>
      <c r="G13" s="8">
        <v>16834</v>
      </c>
      <c r="H13" s="75">
        <f t="shared" si="0"/>
        <v>0</v>
      </c>
      <c r="I13" s="41">
        <f t="shared" si="2"/>
        <v>38696</v>
      </c>
      <c r="J13" s="11" t="s">
        <v>25</v>
      </c>
      <c r="K13" s="10">
        <v>16936</v>
      </c>
      <c r="L13" s="30">
        <f t="shared" si="5"/>
        <v>0</v>
      </c>
      <c r="M13" s="43">
        <f t="shared" si="3"/>
        <v>38362</v>
      </c>
      <c r="N13" s="13">
        <v>0.77083333333333337</v>
      </c>
      <c r="O13" s="12">
        <v>17093</v>
      </c>
      <c r="P13" s="23">
        <f>IF(AND(P12&lt;&gt;"",O13&lt;&gt;""),O13-O12,"")</f>
        <v>9</v>
      </c>
    </row>
    <row r="14" spans="1:16" x14ac:dyDescent="0.2">
      <c r="A14" s="1" t="s">
        <v>215</v>
      </c>
      <c r="B14" s="2">
        <f>IF(O4="",0,((MAX(O4:O34,G38:G68,K38:K68,O38:O68))-K34)*B65)</f>
        <v>472.87069700000006</v>
      </c>
      <c r="C14" s="3"/>
      <c r="D14" s="3"/>
      <c r="E14" s="38">
        <f t="shared" si="1"/>
        <v>39397</v>
      </c>
      <c r="F14" s="9">
        <v>0.77083333333333337</v>
      </c>
      <c r="G14" s="8">
        <v>16835</v>
      </c>
      <c r="H14" s="75">
        <f t="shared" si="0"/>
        <v>1</v>
      </c>
      <c r="I14" s="41">
        <f t="shared" si="2"/>
        <v>38697</v>
      </c>
      <c r="J14" s="11" t="s">
        <v>26</v>
      </c>
      <c r="K14" s="10">
        <v>16936</v>
      </c>
      <c r="L14" s="30">
        <f t="shared" si="5"/>
        <v>0</v>
      </c>
      <c r="M14" s="43">
        <f t="shared" si="3"/>
        <v>38363</v>
      </c>
      <c r="N14" s="13">
        <v>0.77083333333333337</v>
      </c>
      <c r="O14" s="12">
        <v>17099</v>
      </c>
      <c r="P14" s="23">
        <f t="shared" si="4"/>
        <v>6</v>
      </c>
    </row>
    <row r="15" spans="1:16" x14ac:dyDescent="0.2">
      <c r="C15" s="3"/>
      <c r="D15" s="3"/>
      <c r="E15" s="38">
        <f t="shared" si="1"/>
        <v>39398</v>
      </c>
      <c r="F15" s="9" t="s">
        <v>25</v>
      </c>
      <c r="G15" s="8">
        <v>16835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16945</v>
      </c>
      <c r="L15" s="30">
        <f t="shared" si="5"/>
        <v>9</v>
      </c>
      <c r="M15" s="43">
        <f t="shared" si="3"/>
        <v>38364</v>
      </c>
      <c r="N15" s="13">
        <v>0.77083333333333337</v>
      </c>
      <c r="O15" s="12">
        <v>17104</v>
      </c>
      <c r="P15" s="23">
        <f t="shared" si="4"/>
        <v>5</v>
      </c>
    </row>
    <row r="16" spans="1:16" x14ac:dyDescent="0.2">
      <c r="A16" s="1" t="s">
        <v>58</v>
      </c>
      <c r="B16" s="2">
        <v>17510</v>
      </c>
      <c r="C16" s="3"/>
      <c r="D16" s="103">
        <v>41023</v>
      </c>
      <c r="E16" s="38">
        <f t="shared" si="1"/>
        <v>39399</v>
      </c>
      <c r="F16" s="9" t="s">
        <v>26</v>
      </c>
      <c r="G16" s="8">
        <v>16835</v>
      </c>
      <c r="H16" s="75">
        <f t="shared" si="0"/>
        <v>0</v>
      </c>
      <c r="I16" s="41">
        <f t="shared" si="2"/>
        <v>38699</v>
      </c>
      <c r="J16" s="11">
        <v>0.77083333333333337</v>
      </c>
      <c r="K16" s="10">
        <v>16950</v>
      </c>
      <c r="L16" s="30">
        <f t="shared" si="5"/>
        <v>5</v>
      </c>
      <c r="M16" s="43">
        <f t="shared" si="3"/>
        <v>38365</v>
      </c>
      <c r="N16" s="13">
        <v>0.77083333333333337</v>
      </c>
      <c r="O16" s="12">
        <v>17110</v>
      </c>
      <c r="P16" s="23">
        <f t="shared" si="4"/>
        <v>6</v>
      </c>
    </row>
    <row r="17" spans="1:16" x14ac:dyDescent="0.2">
      <c r="A17" s="1" t="s">
        <v>199</v>
      </c>
      <c r="B17" s="2">
        <f>(B16-('1011'!L34))*B65</f>
        <v>1159.1970650000001</v>
      </c>
      <c r="C17" s="3"/>
      <c r="D17" s="3"/>
      <c r="E17" s="38">
        <f t="shared" si="1"/>
        <v>39400</v>
      </c>
      <c r="F17" s="9">
        <v>0.77083333333333337</v>
      </c>
      <c r="G17" s="8">
        <v>16838</v>
      </c>
      <c r="H17" s="75">
        <f t="shared" si="0"/>
        <v>3</v>
      </c>
      <c r="I17" s="41">
        <f t="shared" si="2"/>
        <v>38700</v>
      </c>
      <c r="J17" s="11">
        <v>0.77083333333333337</v>
      </c>
      <c r="K17" s="10">
        <v>16955</v>
      </c>
      <c r="L17" s="30">
        <f t="shared" si="5"/>
        <v>5</v>
      </c>
      <c r="M17" s="43">
        <f t="shared" si="3"/>
        <v>38366</v>
      </c>
      <c r="N17" s="13" t="s">
        <v>25</v>
      </c>
      <c r="O17" s="12">
        <v>17110</v>
      </c>
      <c r="P17" s="23">
        <f t="shared" si="4"/>
        <v>0</v>
      </c>
    </row>
    <row r="18" spans="1:16" x14ac:dyDescent="0.2">
      <c r="A18" s="1" t="s">
        <v>216</v>
      </c>
      <c r="B18" s="2">
        <f>IF(OR(O4&gt;B16,O4=""),0,B16-K34)</f>
        <v>461</v>
      </c>
      <c r="C18" s="3"/>
      <c r="D18" s="3"/>
      <c r="E18" s="38">
        <f t="shared" si="1"/>
        <v>39401</v>
      </c>
      <c r="F18" s="9">
        <v>0.77083333333333337</v>
      </c>
      <c r="G18" s="8">
        <v>16842</v>
      </c>
      <c r="H18" s="75">
        <f t="shared" si="0"/>
        <v>4</v>
      </c>
      <c r="I18" s="41">
        <f t="shared" si="2"/>
        <v>38701</v>
      </c>
      <c r="J18" s="11">
        <v>0.77083333333333337</v>
      </c>
      <c r="K18" s="10">
        <v>16961</v>
      </c>
      <c r="L18" s="30">
        <f t="shared" si="5"/>
        <v>6</v>
      </c>
      <c r="M18" s="43">
        <f t="shared" si="3"/>
        <v>38367</v>
      </c>
      <c r="N18" s="13" t="s">
        <v>26</v>
      </c>
      <c r="O18" s="12">
        <v>17110</v>
      </c>
      <c r="P18" s="23">
        <f t="shared" si="4"/>
        <v>0</v>
      </c>
    </row>
    <row r="19" spans="1:16" x14ac:dyDescent="0.2">
      <c r="E19" s="38">
        <f t="shared" si="1"/>
        <v>39402</v>
      </c>
      <c r="F19" s="9">
        <v>0.77083333333333337</v>
      </c>
      <c r="G19" s="8">
        <v>16846</v>
      </c>
      <c r="H19" s="75">
        <f t="shared" si="0"/>
        <v>4</v>
      </c>
      <c r="I19" s="41">
        <f t="shared" si="2"/>
        <v>38702</v>
      </c>
      <c r="J19" s="110" t="s">
        <v>226</v>
      </c>
      <c r="K19" s="111">
        <v>16964</v>
      </c>
      <c r="L19" s="30">
        <f t="shared" si="5"/>
        <v>3</v>
      </c>
      <c r="M19" s="43">
        <f t="shared" si="3"/>
        <v>38368</v>
      </c>
      <c r="N19" s="13">
        <v>0.77083333333333337</v>
      </c>
      <c r="O19" s="12">
        <v>17124</v>
      </c>
      <c r="P19" s="23">
        <f t="shared" si="4"/>
        <v>14</v>
      </c>
    </row>
    <row r="20" spans="1:16" x14ac:dyDescent="0.2">
      <c r="A20" s="1" t="s">
        <v>217</v>
      </c>
      <c r="B20" s="2">
        <f>IF(AND(B13&gt;480,B17&lt;480),480-B17,0)</f>
        <v>0</v>
      </c>
      <c r="C20" s="3"/>
      <c r="D20" s="3"/>
      <c r="E20" s="38">
        <f t="shared" si="1"/>
        <v>39403</v>
      </c>
      <c r="F20" s="9">
        <v>0.77083333333333337</v>
      </c>
      <c r="G20" s="8">
        <v>16849</v>
      </c>
      <c r="H20" s="75">
        <f t="shared" si="0"/>
        <v>3</v>
      </c>
      <c r="I20" s="41">
        <f t="shared" si="2"/>
        <v>38703</v>
      </c>
      <c r="J20" s="11" t="s">
        <v>25</v>
      </c>
      <c r="K20" s="10">
        <v>16964</v>
      </c>
      <c r="L20" s="30">
        <f t="shared" si="5"/>
        <v>0</v>
      </c>
      <c r="M20" s="43">
        <f t="shared" si="3"/>
        <v>38369</v>
      </c>
      <c r="N20" s="13">
        <v>0.77083333333333337</v>
      </c>
      <c r="O20" s="12">
        <v>17137</v>
      </c>
      <c r="P20" s="23">
        <f t="shared" si="4"/>
        <v>13</v>
      </c>
    </row>
    <row r="21" spans="1:16" x14ac:dyDescent="0.2">
      <c r="A21" s="1" t="s">
        <v>218</v>
      </c>
      <c r="B21" s="2">
        <f>IF(AND(B14&gt;0,B18=0),(K34-B16-B20)*B65,0)</f>
        <v>0</v>
      </c>
      <c r="C21" s="3"/>
      <c r="D21" s="3"/>
      <c r="E21" s="38">
        <f t="shared" si="1"/>
        <v>39404</v>
      </c>
      <c r="F21" s="9">
        <v>0.77083333333333337</v>
      </c>
      <c r="G21" s="8">
        <v>16853</v>
      </c>
      <c r="H21" s="75">
        <f t="shared" si="0"/>
        <v>4</v>
      </c>
      <c r="I21" s="41">
        <f t="shared" si="2"/>
        <v>38704</v>
      </c>
      <c r="J21" s="11" t="s">
        <v>26</v>
      </c>
      <c r="K21" s="10">
        <v>16964</v>
      </c>
      <c r="L21" s="30">
        <f t="shared" si="5"/>
        <v>0</v>
      </c>
      <c r="M21" s="43">
        <f t="shared" si="3"/>
        <v>38370</v>
      </c>
      <c r="N21" s="13">
        <v>0.77083333333333337</v>
      </c>
      <c r="O21" s="12">
        <v>17147</v>
      </c>
      <c r="P21" s="23">
        <f t="shared" si="4"/>
        <v>10</v>
      </c>
    </row>
    <row r="22" spans="1:16" x14ac:dyDescent="0.2">
      <c r="A22" s="1" t="s">
        <v>219</v>
      </c>
      <c r="B22" s="104">
        <f>IF(AND(B14&lt;120,B18&lt;120),B29,C22)</f>
        <v>0</v>
      </c>
      <c r="C22" s="104">
        <f>IF(AND(B14&gt;120,B14&gt;B18,B18*B65&gt;120),0,120-(B18*B65))</f>
        <v>0</v>
      </c>
      <c r="E22" s="38">
        <f t="shared" si="1"/>
        <v>39405</v>
      </c>
      <c r="F22" s="9" t="s">
        <v>25</v>
      </c>
      <c r="G22" s="8">
        <v>16853</v>
      </c>
      <c r="H22" s="75">
        <f t="shared" si="0"/>
        <v>0</v>
      </c>
      <c r="I22" s="41">
        <f t="shared" si="2"/>
        <v>38705</v>
      </c>
      <c r="J22" s="11">
        <v>0.77083333333333337</v>
      </c>
      <c r="K22" s="10">
        <v>16978</v>
      </c>
      <c r="L22" s="30">
        <f t="shared" si="5"/>
        <v>14</v>
      </c>
      <c r="M22" s="43">
        <f t="shared" si="3"/>
        <v>38371</v>
      </c>
      <c r="N22" s="13">
        <v>0.77083333333333337</v>
      </c>
      <c r="O22" s="12">
        <v>17158</v>
      </c>
      <c r="P22" s="23">
        <f t="shared" si="4"/>
        <v>11</v>
      </c>
    </row>
    <row r="23" spans="1:16" x14ac:dyDescent="0.2">
      <c r="A23" s="1" t="s">
        <v>220</v>
      </c>
      <c r="B23" s="104">
        <f>IF(B14=0,0,B29)</f>
        <v>2.0426380000000002</v>
      </c>
      <c r="E23" s="38">
        <f t="shared" si="1"/>
        <v>39406</v>
      </c>
      <c r="F23" s="9" t="s">
        <v>26</v>
      </c>
      <c r="G23" s="8">
        <v>16853</v>
      </c>
      <c r="H23" s="75">
        <f t="shared" si="0"/>
        <v>0</v>
      </c>
      <c r="I23" s="41">
        <f t="shared" si="2"/>
        <v>38706</v>
      </c>
      <c r="J23" s="11">
        <v>0.77083333333333337</v>
      </c>
      <c r="K23" s="10">
        <v>16987</v>
      </c>
      <c r="L23" s="30">
        <f t="shared" si="5"/>
        <v>9</v>
      </c>
      <c r="M23" s="43">
        <f t="shared" si="3"/>
        <v>38372</v>
      </c>
      <c r="N23" s="13">
        <v>0.77083333333333337</v>
      </c>
      <c r="O23" s="12">
        <v>17167</v>
      </c>
      <c r="P23" s="23">
        <f t="shared" si="4"/>
        <v>9</v>
      </c>
    </row>
    <row r="24" spans="1:16" x14ac:dyDescent="0.2">
      <c r="A24" s="1" t="s">
        <v>221</v>
      </c>
      <c r="B24" s="104">
        <f>IF(B43&gt;0,B29-B43-B45,B23)</f>
        <v>2.0426380000000002</v>
      </c>
      <c r="E24" s="38">
        <f t="shared" si="1"/>
        <v>39407</v>
      </c>
      <c r="F24" s="9">
        <v>0.77083333333333337</v>
      </c>
      <c r="G24" s="8">
        <v>16864</v>
      </c>
      <c r="H24" s="75">
        <f t="shared" si="0"/>
        <v>11</v>
      </c>
      <c r="I24" s="41">
        <f t="shared" si="2"/>
        <v>38707</v>
      </c>
      <c r="J24" s="11">
        <v>0.77083333333333337</v>
      </c>
      <c r="K24" s="10">
        <v>16995</v>
      </c>
      <c r="L24" s="30">
        <f t="shared" si="5"/>
        <v>8</v>
      </c>
      <c r="M24" s="43">
        <f t="shared" si="3"/>
        <v>38373</v>
      </c>
      <c r="N24" s="13" t="s">
        <v>25</v>
      </c>
      <c r="O24" s="12">
        <v>17167</v>
      </c>
      <c r="P24" s="23">
        <f t="shared" si="4"/>
        <v>0</v>
      </c>
    </row>
    <row r="25" spans="1:16" x14ac:dyDescent="0.2">
      <c r="E25" s="38">
        <f t="shared" si="1"/>
        <v>39408</v>
      </c>
      <c r="F25" s="9">
        <v>0.77083333333333337</v>
      </c>
      <c r="G25" s="8">
        <v>16871</v>
      </c>
      <c r="H25" s="75">
        <f t="shared" si="0"/>
        <v>7</v>
      </c>
      <c r="I25" s="41">
        <f t="shared" si="2"/>
        <v>38708</v>
      </c>
      <c r="J25" s="11">
        <v>0.77083333333333337</v>
      </c>
      <c r="K25" s="10">
        <v>17003</v>
      </c>
      <c r="L25" s="30">
        <f t="shared" si="5"/>
        <v>8</v>
      </c>
      <c r="M25" s="43">
        <f t="shared" si="3"/>
        <v>38374</v>
      </c>
      <c r="N25" s="13" t="s">
        <v>26</v>
      </c>
      <c r="O25" s="12">
        <v>17167</v>
      </c>
      <c r="P25" s="23">
        <f t="shared" si="4"/>
        <v>0</v>
      </c>
    </row>
    <row r="26" spans="1:16" x14ac:dyDescent="0.2">
      <c r="A26" s="1" t="s">
        <v>222</v>
      </c>
      <c r="B26" s="66" t="s">
        <v>8</v>
      </c>
      <c r="C26" s="67" t="s">
        <v>5</v>
      </c>
      <c r="D26" s="67" t="s">
        <v>6</v>
      </c>
      <c r="E26" s="38">
        <f t="shared" si="1"/>
        <v>39409</v>
      </c>
      <c r="F26" s="9">
        <v>0.77083333333333337</v>
      </c>
      <c r="G26" s="8">
        <v>16876</v>
      </c>
      <c r="H26" s="75">
        <f t="shared" si="0"/>
        <v>5</v>
      </c>
      <c r="I26" s="41">
        <f t="shared" si="2"/>
        <v>38709</v>
      </c>
      <c r="J26" s="11">
        <v>0.77083333333333337</v>
      </c>
      <c r="K26" s="10">
        <v>17010</v>
      </c>
      <c r="L26" s="30">
        <f t="shared" si="5"/>
        <v>7</v>
      </c>
      <c r="M26" s="43">
        <f t="shared" si="3"/>
        <v>38375</v>
      </c>
      <c r="N26" s="13">
        <v>0.77083333333333337</v>
      </c>
      <c r="O26" s="12">
        <v>17178</v>
      </c>
      <c r="P26" s="23">
        <f t="shared" si="4"/>
        <v>11</v>
      </c>
    </row>
    <row r="27" spans="1:16" x14ac:dyDescent="0.2">
      <c r="A27" s="5"/>
      <c r="B27" s="2"/>
      <c r="C27" s="3"/>
      <c r="D27" s="3"/>
      <c r="E27" s="38">
        <f t="shared" si="1"/>
        <v>39410</v>
      </c>
      <c r="F27" s="9">
        <v>0.77083333333333337</v>
      </c>
      <c r="G27" s="8">
        <v>16880</v>
      </c>
      <c r="H27" s="75">
        <f t="shared" si="0"/>
        <v>4</v>
      </c>
      <c r="I27" s="41">
        <f t="shared" si="2"/>
        <v>38710</v>
      </c>
      <c r="J27" s="11" t="s">
        <v>25</v>
      </c>
      <c r="K27" s="10">
        <v>17010</v>
      </c>
      <c r="L27" s="30">
        <f t="shared" si="5"/>
        <v>0</v>
      </c>
      <c r="M27" s="43">
        <f t="shared" si="3"/>
        <v>38376</v>
      </c>
      <c r="N27" s="13">
        <v>0.77083333333333337</v>
      </c>
      <c r="O27" s="12">
        <v>17185</v>
      </c>
      <c r="P27" s="23">
        <f t="shared" si="4"/>
        <v>7</v>
      </c>
    </row>
    <row r="28" spans="1:16" x14ac:dyDescent="0.2">
      <c r="A28" s="1" t="s">
        <v>0</v>
      </c>
      <c r="B28" s="2">
        <f ca="1">SUM(TODAY()-D16)</f>
        <v>3997</v>
      </c>
      <c r="C28" s="3"/>
      <c r="D28" s="3"/>
      <c r="E28" s="38">
        <f t="shared" si="1"/>
        <v>39411</v>
      </c>
      <c r="F28" s="9">
        <v>0.77083333333333337</v>
      </c>
      <c r="G28" s="8">
        <v>16884</v>
      </c>
      <c r="H28" s="75">
        <f t="shared" si="0"/>
        <v>4</v>
      </c>
      <c r="I28" s="46">
        <f t="shared" si="2"/>
        <v>38711</v>
      </c>
      <c r="J28" s="52" t="s">
        <v>31</v>
      </c>
      <c r="K28" s="10">
        <v>17010</v>
      </c>
      <c r="L28" s="30">
        <f t="shared" si="5"/>
        <v>0</v>
      </c>
      <c r="M28" s="43">
        <f t="shared" si="3"/>
        <v>38377</v>
      </c>
      <c r="N28" s="13">
        <v>0.77083333333333337</v>
      </c>
      <c r="O28" s="12">
        <v>17192</v>
      </c>
      <c r="P28" s="23">
        <f t="shared" si="4"/>
        <v>7</v>
      </c>
    </row>
    <row r="29" spans="1:16" x14ac:dyDescent="0.2">
      <c r="A29" s="1" t="s">
        <v>85</v>
      </c>
      <c r="B29" s="2">
        <f>(MAX(G4:G33, K4:K34,O4:O34, G38:G71, K38:K73, O38:O72)-B16)*B65</f>
        <v>2.0426380000000002</v>
      </c>
      <c r="C29" s="3"/>
      <c r="D29" s="3"/>
      <c r="E29" s="38">
        <f t="shared" si="1"/>
        <v>39412</v>
      </c>
      <c r="F29" s="9" t="s">
        <v>25</v>
      </c>
      <c r="G29" s="8">
        <v>16884</v>
      </c>
      <c r="H29" s="75">
        <f t="shared" si="0"/>
        <v>0</v>
      </c>
      <c r="I29" s="41">
        <f t="shared" si="2"/>
        <v>38712</v>
      </c>
      <c r="J29" s="51" t="s">
        <v>68</v>
      </c>
      <c r="K29" s="10">
        <v>17010</v>
      </c>
      <c r="L29" s="30">
        <f t="shared" si="5"/>
        <v>0</v>
      </c>
      <c r="M29" s="43">
        <f t="shared" si="3"/>
        <v>38378</v>
      </c>
      <c r="N29" s="13">
        <v>0.77083333333333337</v>
      </c>
      <c r="O29" s="12">
        <v>17199</v>
      </c>
      <c r="P29" s="23">
        <f t="shared" si="4"/>
        <v>7</v>
      </c>
    </row>
    <row r="30" spans="1:16" x14ac:dyDescent="0.2">
      <c r="A30" s="1" t="s">
        <v>87</v>
      </c>
      <c r="B30" s="2">
        <f ca="1">B28</f>
        <v>3997</v>
      </c>
      <c r="C30" s="3">
        <f>B59/365</f>
        <v>0.15389041095890413</v>
      </c>
      <c r="D30" s="3">
        <f ca="1">(B30*C30)</f>
        <v>615.09997260273985</v>
      </c>
      <c r="E30" s="38">
        <f t="shared" si="1"/>
        <v>39413</v>
      </c>
      <c r="F30" s="9" t="s">
        <v>26</v>
      </c>
      <c r="G30" s="8">
        <v>16884</v>
      </c>
      <c r="H30" s="75">
        <f t="shared" si="0"/>
        <v>0</v>
      </c>
      <c r="I30" s="41">
        <f>I29+1</f>
        <v>38713</v>
      </c>
      <c r="J30" s="11">
        <v>0.77083333333333337</v>
      </c>
      <c r="K30" s="10">
        <v>17028</v>
      </c>
      <c r="L30" s="30">
        <f t="shared" si="5"/>
        <v>18</v>
      </c>
      <c r="M30" s="43">
        <f>M29+1</f>
        <v>38379</v>
      </c>
      <c r="N30" s="13">
        <v>0.77083333333333337</v>
      </c>
      <c r="O30" s="12">
        <v>17206</v>
      </c>
      <c r="P30" s="23">
        <f t="shared" si="4"/>
        <v>7</v>
      </c>
    </row>
    <row r="31" spans="1:16" x14ac:dyDescent="0.2">
      <c r="A31" s="1" t="s">
        <v>54</v>
      </c>
      <c r="B31" s="2">
        <f ca="1">B28</f>
        <v>3997</v>
      </c>
      <c r="C31" s="3">
        <f>B60/365</f>
        <v>0.11052054794520549</v>
      </c>
      <c r="D31" s="3">
        <f ca="1">(B31*C31)</f>
        <v>441.75063013698639</v>
      </c>
      <c r="E31" s="38">
        <f t="shared" si="1"/>
        <v>39414</v>
      </c>
      <c r="F31" s="9">
        <v>0.77083333333333337</v>
      </c>
      <c r="G31" s="8">
        <v>16894</v>
      </c>
      <c r="H31" s="75">
        <f t="shared" si="0"/>
        <v>10</v>
      </c>
      <c r="I31" s="41">
        <f>I30+1</f>
        <v>38714</v>
      </c>
      <c r="J31" s="11">
        <v>0.77083333333333337</v>
      </c>
      <c r="K31" s="10">
        <v>17035</v>
      </c>
      <c r="L31" s="30">
        <f t="shared" si="5"/>
        <v>7</v>
      </c>
      <c r="M31" s="43">
        <f>M30+1</f>
        <v>38380</v>
      </c>
      <c r="N31" s="13" t="s">
        <v>25</v>
      </c>
      <c r="O31" s="12">
        <v>17206</v>
      </c>
      <c r="P31" s="23">
        <f t="shared" si="4"/>
        <v>0</v>
      </c>
    </row>
    <row r="32" spans="1:16" x14ac:dyDescent="0.2">
      <c r="A32" s="1" t="s">
        <v>88</v>
      </c>
      <c r="B32" s="2">
        <f ca="1">B28</f>
        <v>3997</v>
      </c>
      <c r="C32" s="68">
        <f>B61/365</f>
        <v>-7.400000000000001E-2</v>
      </c>
      <c r="D32" s="3">
        <f ca="1">(B32*C32)</f>
        <v>-295.77800000000002</v>
      </c>
      <c r="E32" s="38">
        <f t="shared" si="1"/>
        <v>39415</v>
      </c>
      <c r="F32" s="9">
        <v>0.77083333333333337</v>
      </c>
      <c r="G32" s="8">
        <v>16900</v>
      </c>
      <c r="H32" s="75">
        <f t="shared" si="0"/>
        <v>6</v>
      </c>
      <c r="I32" s="41">
        <f>I31+1</f>
        <v>38715</v>
      </c>
      <c r="J32" s="11">
        <v>0.77083333333333337</v>
      </c>
      <c r="K32" s="10">
        <v>17042</v>
      </c>
      <c r="L32" s="30">
        <f t="shared" si="5"/>
        <v>7</v>
      </c>
      <c r="M32" s="43">
        <f>M31+1</f>
        <v>38381</v>
      </c>
      <c r="N32" s="13" t="s">
        <v>26</v>
      </c>
      <c r="O32" s="12">
        <v>17206</v>
      </c>
      <c r="P32" s="23">
        <f t="shared" si="4"/>
        <v>0</v>
      </c>
    </row>
    <row r="33" spans="1:16" x14ac:dyDescent="0.2">
      <c r="A33" s="1" t="s">
        <v>92</v>
      </c>
      <c r="B33" s="69">
        <f ca="1">B28</f>
        <v>3997</v>
      </c>
      <c r="C33" s="68">
        <f>B62/365</f>
        <v>0</v>
      </c>
      <c r="D33" s="3">
        <f ca="1">(B33*C33)</f>
        <v>0</v>
      </c>
      <c r="E33" s="38">
        <f t="shared" si="1"/>
        <v>39416</v>
      </c>
      <c r="F33" s="9">
        <v>0.77083333333333337</v>
      </c>
      <c r="G33" s="8">
        <v>16904</v>
      </c>
      <c r="H33" s="75">
        <f t="shared" si="0"/>
        <v>4</v>
      </c>
      <c r="I33" s="41">
        <f>I32+1</f>
        <v>38716</v>
      </c>
      <c r="J33" s="11">
        <v>0.77083333333333337</v>
      </c>
      <c r="K33" s="10">
        <v>17049</v>
      </c>
      <c r="L33" s="30">
        <f t="shared" si="5"/>
        <v>7</v>
      </c>
      <c r="M33" s="43">
        <f>M32+1</f>
        <v>38382</v>
      </c>
      <c r="N33" s="13">
        <v>0.77083333333333337</v>
      </c>
      <c r="O33" s="12">
        <v>17219</v>
      </c>
      <c r="P33" s="23">
        <f t="shared" si="4"/>
        <v>13</v>
      </c>
    </row>
    <row r="34" spans="1:16" x14ac:dyDescent="0.2">
      <c r="A34" s="1" t="s">
        <v>22</v>
      </c>
      <c r="B34" s="2">
        <f>B43</f>
        <v>0</v>
      </c>
      <c r="C34" s="3">
        <v>0</v>
      </c>
      <c r="D34" s="3">
        <f>B34*C34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 t="s">
        <v>25</v>
      </c>
      <c r="K34" s="10">
        <v>17049</v>
      </c>
      <c r="L34" s="30">
        <f t="shared" si="5"/>
        <v>0</v>
      </c>
      <c r="M34" s="43">
        <f>M33+1</f>
        <v>38383</v>
      </c>
      <c r="N34" s="13">
        <v>0.77083333333333337</v>
      </c>
      <c r="O34" s="12">
        <v>17229</v>
      </c>
      <c r="P34" s="23">
        <f t="shared" si="4"/>
        <v>10</v>
      </c>
    </row>
    <row r="35" spans="1:16" ht="13.5" thickBot="1" x14ac:dyDescent="0.25">
      <c r="A35" s="1" t="s">
        <v>106</v>
      </c>
      <c r="B35" s="69">
        <f>B34</f>
        <v>0</v>
      </c>
      <c r="C35" s="70">
        <f>0.002474+0.002+0.0001</f>
        <v>4.5740000000000008E-3</v>
      </c>
      <c r="D35" s="3">
        <f>B35*C35</f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15</v>
      </c>
      <c r="B36" s="2">
        <f>IF(B14&gt;0,B46,B44)</f>
        <v>2.0426380000000002</v>
      </c>
      <c r="C36" s="3">
        <v>5.9560000000000002E-2</v>
      </c>
      <c r="D36" s="3">
        <f>B36*C36</f>
        <v>0.12165951928000002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98</v>
      </c>
      <c r="B37" s="69">
        <f>B36</f>
        <v>2.0426380000000002</v>
      </c>
      <c r="C37" s="70">
        <f>0.0376+0.002474+0.002+0.0001</f>
        <v>4.2174000000000003E-2</v>
      </c>
      <c r="D37" s="3">
        <f>B37*C37</f>
        <v>8.614621501200001E-2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17</v>
      </c>
      <c r="B38" s="2">
        <f>B45</f>
        <v>0</v>
      </c>
      <c r="C38" s="3">
        <v>5.2484999999999997E-2</v>
      </c>
      <c r="D38" s="3">
        <f t="shared" ref="D38:D46" si="6">B38*C38</f>
        <v>0</v>
      </c>
      <c r="E38" s="38">
        <v>38384</v>
      </c>
      <c r="F38" s="9">
        <v>0.77083333333333337</v>
      </c>
      <c r="G38" s="8">
        <v>17240</v>
      </c>
      <c r="H38" s="75">
        <f>G38-O34</f>
        <v>11</v>
      </c>
      <c r="I38" s="46">
        <v>38412</v>
      </c>
      <c r="J38" s="11">
        <v>0.77083333333333337</v>
      </c>
      <c r="K38" s="10">
        <v>17444</v>
      </c>
      <c r="L38" s="30">
        <f>IF(AND(H69&lt;&gt;"",K38&lt;&gt;""),K38-K37,K38-MAX(G38:G69))</f>
        <v>2</v>
      </c>
      <c r="M38" s="43">
        <v>38443</v>
      </c>
      <c r="N38" s="13" t="s">
        <v>26</v>
      </c>
      <c r="O38" s="12">
        <v>17485</v>
      </c>
      <c r="P38" s="23">
        <f>IF(AND(L69&lt;&gt;"",O38&lt;&gt;""),O38-O37,O38-MAX(K38:K69))</f>
        <v>0</v>
      </c>
    </row>
    <row r="39" spans="1:16" x14ac:dyDescent="0.2">
      <c r="A39" s="1" t="s">
        <v>99</v>
      </c>
      <c r="B39" s="69">
        <f>B38</f>
        <v>0</v>
      </c>
      <c r="C39" s="70">
        <f>0.0217+0.00906+0.000563+0.000313</f>
        <v>3.1636000000000004E-2</v>
      </c>
      <c r="D39" s="3">
        <f t="shared" si="6"/>
        <v>0</v>
      </c>
      <c r="E39" s="38">
        <f>E38+1</f>
        <v>38385</v>
      </c>
      <c r="F39" s="9">
        <v>0.77083333333333337</v>
      </c>
      <c r="G39" s="8">
        <v>17250</v>
      </c>
      <c r="H39" s="75">
        <f t="shared" ref="H39:H62" si="7">IF(AND(H38&lt;&gt;"",G39&lt;&gt;""),G39-G38,"")</f>
        <v>10</v>
      </c>
      <c r="I39" s="41">
        <f>I38+1</f>
        <v>38413</v>
      </c>
      <c r="J39" s="11">
        <v>0.77083333333333337</v>
      </c>
      <c r="K39" s="10">
        <v>17446</v>
      </c>
      <c r="L39" s="30">
        <f t="shared" ref="L39:L69" si="8">IF(AND(L38&lt;&gt;"",K39&lt;&gt;""),K39-K38,"")</f>
        <v>2</v>
      </c>
      <c r="M39" s="43">
        <f>M38+1</f>
        <v>38444</v>
      </c>
      <c r="N39" s="13">
        <v>0.77083333333333337</v>
      </c>
      <c r="O39" s="12">
        <v>17485</v>
      </c>
      <c r="P39" s="23">
        <f t="shared" ref="P39:P67" si="9">IF(AND(P38&lt;&gt;"",O39&lt;&gt;""),O39-O38,"")</f>
        <v>0</v>
      </c>
    </row>
    <row r="40" spans="1:16" x14ac:dyDescent="0.2">
      <c r="A40" s="1" t="s">
        <v>93</v>
      </c>
      <c r="B40" s="2">
        <f>B43</f>
        <v>0</v>
      </c>
      <c r="C40" s="29">
        <f>B55</f>
        <v>4.3999999999999997E-2</v>
      </c>
      <c r="D40" s="3">
        <f t="shared" si="6"/>
        <v>0</v>
      </c>
      <c r="E40" s="38">
        <f t="shared" ref="E40:E62" si="10">E39+1</f>
        <v>38386</v>
      </c>
      <c r="F40" s="9">
        <v>0.77083333333333337</v>
      </c>
      <c r="G40" s="8">
        <v>17261</v>
      </c>
      <c r="H40" s="75">
        <f t="shared" si="7"/>
        <v>11</v>
      </c>
      <c r="I40" s="41">
        <f t="shared" ref="I40:I62" si="11">I39+1</f>
        <v>38414</v>
      </c>
      <c r="J40" s="11" t="s">
        <v>25</v>
      </c>
      <c r="K40" s="10">
        <v>17446</v>
      </c>
      <c r="L40" s="30">
        <f t="shared" si="8"/>
        <v>0</v>
      </c>
      <c r="M40" s="43">
        <f t="shared" ref="M40:M67" si="12">M39+1</f>
        <v>38445</v>
      </c>
      <c r="N40" s="13">
        <v>0.77083333333333337</v>
      </c>
      <c r="O40" s="12">
        <v>17485</v>
      </c>
      <c r="P40" s="23">
        <f t="shared" si="9"/>
        <v>0</v>
      </c>
    </row>
    <row r="41" spans="1:16" x14ac:dyDescent="0.2">
      <c r="A41" s="1" t="s">
        <v>94</v>
      </c>
      <c r="B41" s="2">
        <f>B36</f>
        <v>2.0426380000000002</v>
      </c>
      <c r="C41" s="3">
        <f>B56</f>
        <v>0.17499999999999999</v>
      </c>
      <c r="D41" s="3">
        <f t="shared" si="6"/>
        <v>0.35746165000000002</v>
      </c>
      <c r="E41" s="38">
        <f t="shared" si="10"/>
        <v>38387</v>
      </c>
      <c r="F41" s="9" t="s">
        <v>25</v>
      </c>
      <c r="G41" s="8">
        <v>17261</v>
      </c>
      <c r="H41" s="75">
        <f t="shared" si="7"/>
        <v>0</v>
      </c>
      <c r="I41" s="41">
        <f t="shared" si="11"/>
        <v>38415</v>
      </c>
      <c r="J41" s="11" t="s">
        <v>26</v>
      </c>
      <c r="K41" s="10">
        <v>17446</v>
      </c>
      <c r="L41" s="30">
        <f t="shared" si="8"/>
        <v>0</v>
      </c>
      <c r="M41" s="43">
        <f t="shared" si="12"/>
        <v>38446</v>
      </c>
      <c r="N41" s="13">
        <v>0.77083333333333337</v>
      </c>
      <c r="O41" s="12">
        <v>17485</v>
      </c>
      <c r="P41" s="23">
        <f t="shared" si="9"/>
        <v>0</v>
      </c>
    </row>
    <row r="42" spans="1:16" x14ac:dyDescent="0.2">
      <c r="A42" s="1" t="s">
        <v>95</v>
      </c>
      <c r="B42" s="2">
        <f>B45</f>
        <v>0</v>
      </c>
      <c r="C42" s="70">
        <f>B57</f>
        <v>0.17</v>
      </c>
      <c r="D42" s="3">
        <f t="shared" si="6"/>
        <v>0</v>
      </c>
      <c r="E42" s="38">
        <f t="shared" si="10"/>
        <v>38388</v>
      </c>
      <c r="F42" s="9" t="s">
        <v>26</v>
      </c>
      <c r="G42" s="8">
        <v>17261</v>
      </c>
      <c r="H42" s="75">
        <f t="shared" si="7"/>
        <v>0</v>
      </c>
      <c r="I42" s="41">
        <f t="shared" si="11"/>
        <v>38416</v>
      </c>
      <c r="J42" s="11">
        <v>0.77083333333333337</v>
      </c>
      <c r="K42" s="10">
        <v>17450</v>
      </c>
      <c r="L42" s="30">
        <f t="shared" si="8"/>
        <v>4</v>
      </c>
      <c r="M42" s="43">
        <f t="shared" si="12"/>
        <v>38447</v>
      </c>
      <c r="N42" s="13">
        <v>0.77083333333333337</v>
      </c>
      <c r="O42" s="12">
        <v>17486</v>
      </c>
      <c r="P42" s="23">
        <f t="shared" si="9"/>
        <v>1</v>
      </c>
    </row>
    <row r="43" spans="1:16" x14ac:dyDescent="0.2">
      <c r="A43" s="1" t="s">
        <v>23</v>
      </c>
      <c r="B43" s="2">
        <f>IF(AND(B14&lt;120,B18=0),B14,B22)</f>
        <v>0</v>
      </c>
      <c r="C43" s="3">
        <f>B51</f>
        <v>0.43723899999999999</v>
      </c>
      <c r="D43" s="3">
        <f t="shared" si="6"/>
        <v>0</v>
      </c>
      <c r="E43" s="38">
        <f t="shared" si="10"/>
        <v>38389</v>
      </c>
      <c r="F43" s="9">
        <v>0.77083333333333337</v>
      </c>
      <c r="G43" s="8">
        <v>17296</v>
      </c>
      <c r="H43" s="75">
        <f t="shared" si="7"/>
        <v>35</v>
      </c>
      <c r="I43" s="41">
        <f t="shared" si="11"/>
        <v>38417</v>
      </c>
      <c r="J43" s="11">
        <v>0.77083333333333337</v>
      </c>
      <c r="K43" s="10">
        <v>17455</v>
      </c>
      <c r="L43" s="30">
        <f t="shared" si="8"/>
        <v>5</v>
      </c>
      <c r="M43" s="43">
        <f t="shared" si="12"/>
        <v>38448</v>
      </c>
      <c r="N43" s="13">
        <v>0.77083333333333337</v>
      </c>
      <c r="O43" s="12">
        <v>17487</v>
      </c>
      <c r="P43" s="23">
        <f t="shared" si="9"/>
        <v>1</v>
      </c>
    </row>
    <row r="44" spans="1:16" x14ac:dyDescent="0.2">
      <c r="A44" s="1" t="s">
        <v>193</v>
      </c>
      <c r="B44" s="2">
        <f>IF(AND(G4=B16,B13&lt;480,B17&lt;480),B29,B20)</f>
        <v>0</v>
      </c>
      <c r="C44" s="3">
        <f>B52</f>
        <v>0.43723899999999999</v>
      </c>
      <c r="D44" s="3">
        <f t="shared" si="6"/>
        <v>0</v>
      </c>
      <c r="E44" s="38">
        <f t="shared" si="10"/>
        <v>38390</v>
      </c>
      <c r="F44" s="9">
        <v>0.77083333333333337</v>
      </c>
      <c r="G44" s="8">
        <v>17309</v>
      </c>
      <c r="H44" s="75">
        <f t="shared" si="7"/>
        <v>13</v>
      </c>
      <c r="I44" s="41">
        <f t="shared" si="11"/>
        <v>38418</v>
      </c>
      <c r="J44" s="11">
        <v>0.77083333333333337</v>
      </c>
      <c r="K44" s="10">
        <v>17459</v>
      </c>
      <c r="L44" s="30">
        <f t="shared" si="8"/>
        <v>4</v>
      </c>
      <c r="M44" s="43">
        <f t="shared" si="12"/>
        <v>38449</v>
      </c>
      <c r="N44" s="13" t="s">
        <v>25</v>
      </c>
      <c r="O44" s="12">
        <v>17487</v>
      </c>
      <c r="P44" s="23">
        <f t="shared" si="9"/>
        <v>0</v>
      </c>
    </row>
    <row r="45" spans="1:16" x14ac:dyDescent="0.2">
      <c r="A45" s="1" t="s">
        <v>18</v>
      </c>
      <c r="B45" s="2">
        <f>IF(AND(B14=0,B13&gt;480),INT(B29-B44),B21)</f>
        <v>0</v>
      </c>
      <c r="C45" s="29">
        <f>B53</f>
        <v>0.51802700000000002</v>
      </c>
      <c r="D45" s="3">
        <f t="shared" si="6"/>
        <v>0</v>
      </c>
      <c r="E45" s="38">
        <f t="shared" si="10"/>
        <v>38391</v>
      </c>
      <c r="F45" s="9">
        <v>0.77083333333333337</v>
      </c>
      <c r="G45" s="8">
        <v>17319</v>
      </c>
      <c r="H45" s="75">
        <f t="shared" si="7"/>
        <v>10</v>
      </c>
      <c r="I45" s="41">
        <f t="shared" si="11"/>
        <v>38419</v>
      </c>
      <c r="J45" s="11">
        <v>0.77083333333333337</v>
      </c>
      <c r="K45" s="10">
        <v>17463</v>
      </c>
      <c r="L45" s="30">
        <f t="shared" si="8"/>
        <v>4</v>
      </c>
      <c r="M45" s="43">
        <f t="shared" si="12"/>
        <v>38450</v>
      </c>
      <c r="N45" s="13" t="s">
        <v>52</v>
      </c>
      <c r="O45" s="12">
        <v>17487</v>
      </c>
      <c r="P45" s="23">
        <f t="shared" si="9"/>
        <v>0</v>
      </c>
    </row>
    <row r="46" spans="1:16" x14ac:dyDescent="0.2">
      <c r="A46" s="1" t="s">
        <v>223</v>
      </c>
      <c r="B46" s="2">
        <f>IF(AND(B43=120,B16=G4),B29-B43-B44-B45,B24)</f>
        <v>2.0426380000000002</v>
      </c>
      <c r="C46" s="3">
        <v>0.45</v>
      </c>
      <c r="D46" s="3">
        <f t="shared" si="6"/>
        <v>0.91918710000000015</v>
      </c>
      <c r="E46" s="38">
        <f t="shared" si="10"/>
        <v>38392</v>
      </c>
      <c r="F46" s="9">
        <v>0.77083333333333337</v>
      </c>
      <c r="G46" s="8">
        <v>17330</v>
      </c>
      <c r="H46" s="75">
        <f t="shared" si="7"/>
        <v>11</v>
      </c>
      <c r="I46" s="41">
        <f t="shared" si="11"/>
        <v>38420</v>
      </c>
      <c r="J46" s="11">
        <v>0.77083333333333337</v>
      </c>
      <c r="K46" s="10">
        <v>17465</v>
      </c>
      <c r="L46" s="30">
        <f t="shared" si="8"/>
        <v>2</v>
      </c>
      <c r="M46" s="43">
        <f t="shared" si="12"/>
        <v>38451</v>
      </c>
      <c r="N46" s="13" t="s">
        <v>35</v>
      </c>
      <c r="O46" s="12">
        <v>17487</v>
      </c>
      <c r="P46" s="23">
        <f t="shared" si="9"/>
        <v>0</v>
      </c>
    </row>
    <row r="47" spans="1:16" x14ac:dyDescent="0.2">
      <c r="E47" s="38">
        <f t="shared" si="10"/>
        <v>38393</v>
      </c>
      <c r="F47" s="9">
        <v>0.77083333333333337</v>
      </c>
      <c r="G47" s="8">
        <v>17340</v>
      </c>
      <c r="H47" s="75">
        <f t="shared" si="7"/>
        <v>10</v>
      </c>
      <c r="I47" s="41">
        <f t="shared" si="11"/>
        <v>38421</v>
      </c>
      <c r="J47" s="11" t="s">
        <v>25</v>
      </c>
      <c r="K47" s="10">
        <v>17465</v>
      </c>
      <c r="L47" s="30">
        <f t="shared" si="8"/>
        <v>0</v>
      </c>
      <c r="M47" s="43">
        <f t="shared" si="12"/>
        <v>38452</v>
      </c>
      <c r="N47" s="13">
        <v>0.77083333333333337</v>
      </c>
      <c r="O47" s="12">
        <v>17492</v>
      </c>
      <c r="P47" s="23">
        <f t="shared" si="9"/>
        <v>5</v>
      </c>
    </row>
    <row r="48" spans="1:16" x14ac:dyDescent="0.2">
      <c r="A48" s="1" t="s">
        <v>96</v>
      </c>
      <c r="B48" s="2"/>
      <c r="C48" s="3"/>
      <c r="D48" s="55">
        <f>(SUM(D34:D37)+SUM(D40:D41)+SUM(D43:D44)+D46)*1.1</f>
        <v>1.6328999327212004</v>
      </c>
      <c r="E48" s="38">
        <f t="shared" si="10"/>
        <v>38394</v>
      </c>
      <c r="F48" s="9" t="s">
        <v>25</v>
      </c>
      <c r="G48" s="8">
        <v>17340</v>
      </c>
      <c r="H48" s="75">
        <f t="shared" si="7"/>
        <v>0</v>
      </c>
      <c r="I48" s="41">
        <f t="shared" si="11"/>
        <v>38422</v>
      </c>
      <c r="J48" s="11" t="s">
        <v>26</v>
      </c>
      <c r="K48" s="10">
        <v>17465</v>
      </c>
      <c r="L48" s="30">
        <f t="shared" si="8"/>
        <v>0</v>
      </c>
      <c r="M48" s="43">
        <f t="shared" si="12"/>
        <v>38453</v>
      </c>
      <c r="N48" s="13">
        <v>0.77083333333333337</v>
      </c>
      <c r="O48" s="12">
        <v>17495</v>
      </c>
      <c r="P48" s="23">
        <f t="shared" si="9"/>
        <v>3</v>
      </c>
    </row>
    <row r="49" spans="1:16" x14ac:dyDescent="0.2">
      <c r="A49" s="1" t="s">
        <v>228</v>
      </c>
      <c r="D49" s="55">
        <f ca="1">(SUM(D30:D33)+SUM(D38:D39)+D42+D45)*1.21</f>
        <v>920.89784931506858</v>
      </c>
      <c r="E49" s="38">
        <f t="shared" si="10"/>
        <v>38395</v>
      </c>
      <c r="F49" s="9" t="s">
        <v>26</v>
      </c>
      <c r="G49" s="8">
        <v>17340</v>
      </c>
      <c r="H49" s="75">
        <f t="shared" si="7"/>
        <v>0</v>
      </c>
      <c r="I49" s="41">
        <f t="shared" si="11"/>
        <v>38423</v>
      </c>
      <c r="J49" s="11">
        <v>0.77083333333333337</v>
      </c>
      <c r="K49" s="10">
        <v>17469</v>
      </c>
      <c r="L49" s="30">
        <f t="shared" si="8"/>
        <v>4</v>
      </c>
      <c r="M49" s="43">
        <f t="shared" si="12"/>
        <v>38454</v>
      </c>
      <c r="N49" s="13">
        <v>0.77083333333333337</v>
      </c>
      <c r="O49" s="12">
        <v>17497</v>
      </c>
      <c r="P49" s="23">
        <f t="shared" si="9"/>
        <v>2</v>
      </c>
    </row>
    <row r="50" spans="1:16" x14ac:dyDescent="0.2">
      <c r="A50" s="1"/>
      <c r="B50" s="2"/>
      <c r="C50" s="3"/>
      <c r="D50" s="3"/>
      <c r="E50" s="38">
        <f t="shared" si="10"/>
        <v>38396</v>
      </c>
      <c r="F50" s="9">
        <v>0.77083333333333337</v>
      </c>
      <c r="G50" s="8">
        <v>17359</v>
      </c>
      <c r="H50" s="75">
        <f t="shared" si="7"/>
        <v>19</v>
      </c>
      <c r="I50" s="41">
        <f t="shared" si="11"/>
        <v>38424</v>
      </c>
      <c r="J50" s="11">
        <v>0.77083333333333337</v>
      </c>
      <c r="K50" s="10">
        <v>17471</v>
      </c>
      <c r="L50" s="30">
        <f t="shared" si="8"/>
        <v>2</v>
      </c>
      <c r="M50" s="43">
        <f t="shared" si="12"/>
        <v>38455</v>
      </c>
      <c r="N50" s="13">
        <v>0.77083333333333337</v>
      </c>
      <c r="O50" s="12">
        <v>17499</v>
      </c>
      <c r="P50" s="23">
        <f t="shared" si="9"/>
        <v>2</v>
      </c>
    </row>
    <row r="51" spans="1:16" x14ac:dyDescent="0.2">
      <c r="A51" s="1" t="s">
        <v>23</v>
      </c>
      <c r="B51" s="26">
        <v>0.43723899999999999</v>
      </c>
      <c r="C51" s="65">
        <v>40909</v>
      </c>
      <c r="D51" s="26"/>
      <c r="E51" s="38">
        <f t="shared" si="10"/>
        <v>38397</v>
      </c>
      <c r="F51" s="9">
        <v>0.77083333333333337</v>
      </c>
      <c r="G51" s="8">
        <v>17372</v>
      </c>
      <c r="H51" s="75">
        <f t="shared" si="7"/>
        <v>13</v>
      </c>
      <c r="I51" s="41">
        <f t="shared" si="11"/>
        <v>38425</v>
      </c>
      <c r="J51" s="11">
        <v>0.77083333333333337</v>
      </c>
      <c r="K51" s="10">
        <v>17473</v>
      </c>
      <c r="L51" s="30">
        <f>IF(AND(L50&lt;&gt;"",K51&lt;&gt;""),K51-K50,"")</f>
        <v>2</v>
      </c>
      <c r="M51" s="43">
        <f t="shared" si="12"/>
        <v>38456</v>
      </c>
      <c r="N51" s="13" t="s">
        <v>25</v>
      </c>
      <c r="O51" s="12">
        <v>17499</v>
      </c>
      <c r="P51" s="23">
        <f t="shared" si="9"/>
        <v>0</v>
      </c>
    </row>
    <row r="52" spans="1:16" x14ac:dyDescent="0.2">
      <c r="A52" s="1" t="s">
        <v>16</v>
      </c>
      <c r="B52" s="26">
        <v>0.43723899999999999</v>
      </c>
      <c r="C52" s="65">
        <v>40909</v>
      </c>
      <c r="D52" s="3"/>
      <c r="E52" s="38">
        <f t="shared" si="10"/>
        <v>38398</v>
      </c>
      <c r="F52" s="9">
        <v>0.77083333333333337</v>
      </c>
      <c r="G52" s="8">
        <v>17383</v>
      </c>
      <c r="H52" s="75">
        <f t="shared" si="7"/>
        <v>11</v>
      </c>
      <c r="I52" s="41">
        <f t="shared" si="11"/>
        <v>38426</v>
      </c>
      <c r="J52" s="11">
        <v>0.77083333333333337</v>
      </c>
      <c r="K52" s="10">
        <v>17475</v>
      </c>
      <c r="L52" s="30">
        <f t="shared" si="8"/>
        <v>2</v>
      </c>
      <c r="M52" s="43">
        <f t="shared" si="12"/>
        <v>38457</v>
      </c>
      <c r="N52" s="13" t="s">
        <v>26</v>
      </c>
      <c r="O52" s="12">
        <v>17499</v>
      </c>
      <c r="P52" s="23">
        <f t="shared" si="9"/>
        <v>0</v>
      </c>
    </row>
    <row r="53" spans="1:16" x14ac:dyDescent="0.2">
      <c r="A53" s="1" t="s">
        <v>18</v>
      </c>
      <c r="B53" s="26">
        <v>0.51802700000000002</v>
      </c>
      <c r="C53" s="65">
        <v>40909</v>
      </c>
      <c r="D53" s="3"/>
      <c r="E53" s="38">
        <f t="shared" si="10"/>
        <v>38399</v>
      </c>
      <c r="F53" s="9">
        <v>0.77083333333333337</v>
      </c>
      <c r="G53" s="8">
        <v>17390</v>
      </c>
      <c r="H53" s="75">
        <f t="shared" si="7"/>
        <v>7</v>
      </c>
      <c r="I53" s="41">
        <f t="shared" si="11"/>
        <v>38427</v>
      </c>
      <c r="J53" s="11">
        <v>0.77083333333333337</v>
      </c>
      <c r="K53" s="10">
        <v>17476</v>
      </c>
      <c r="L53" s="30">
        <f t="shared" si="8"/>
        <v>1</v>
      </c>
      <c r="M53" s="43">
        <f t="shared" si="12"/>
        <v>38458</v>
      </c>
      <c r="N53" s="13">
        <v>0.77083333333333337</v>
      </c>
      <c r="O53" s="12">
        <v>17499</v>
      </c>
      <c r="P53" s="23">
        <f t="shared" si="9"/>
        <v>0</v>
      </c>
    </row>
    <row r="54" spans="1:16" x14ac:dyDescent="0.2">
      <c r="A54" s="1"/>
      <c r="B54" s="2"/>
      <c r="C54" s="3"/>
      <c r="D54" s="3"/>
      <c r="E54" s="38">
        <f t="shared" si="10"/>
        <v>38400</v>
      </c>
      <c r="F54" s="9">
        <v>0.77083333333333337</v>
      </c>
      <c r="G54" s="8">
        <v>17397</v>
      </c>
      <c r="H54" s="75">
        <f t="shared" si="7"/>
        <v>7</v>
      </c>
      <c r="I54" s="41">
        <f t="shared" si="11"/>
        <v>38428</v>
      </c>
      <c r="J54" s="11" t="s">
        <v>25</v>
      </c>
      <c r="K54" s="10">
        <v>17476</v>
      </c>
      <c r="L54" s="30">
        <f t="shared" si="8"/>
        <v>0</v>
      </c>
      <c r="M54" s="43">
        <f t="shared" si="12"/>
        <v>38459</v>
      </c>
      <c r="N54" s="13">
        <v>0.77083333333333337</v>
      </c>
      <c r="O54" s="12">
        <v>17503</v>
      </c>
      <c r="P54" s="23">
        <f t="shared" si="9"/>
        <v>4</v>
      </c>
    </row>
    <row r="55" spans="1:16" x14ac:dyDescent="0.2">
      <c r="A55" s="1" t="s">
        <v>201</v>
      </c>
      <c r="B55" s="26">
        <v>4.3999999999999997E-2</v>
      </c>
      <c r="C55" s="3"/>
      <c r="D55" s="3"/>
      <c r="E55" s="38">
        <f t="shared" si="10"/>
        <v>38401</v>
      </c>
      <c r="F55" s="9" t="s">
        <v>25</v>
      </c>
      <c r="G55" s="8">
        <v>17397</v>
      </c>
      <c r="H55" s="75">
        <f t="shared" si="7"/>
        <v>0</v>
      </c>
      <c r="I55" s="41">
        <f t="shared" si="11"/>
        <v>38429</v>
      </c>
      <c r="J55" s="11" t="s">
        <v>26</v>
      </c>
      <c r="K55" s="10">
        <v>17476</v>
      </c>
      <c r="L55" s="30">
        <f t="shared" si="8"/>
        <v>0</v>
      </c>
      <c r="M55" s="43">
        <f t="shared" si="12"/>
        <v>38460</v>
      </c>
      <c r="N55" s="13">
        <v>0.77083333333333337</v>
      </c>
      <c r="O55" s="12">
        <v>17505</v>
      </c>
      <c r="P55" s="23">
        <f t="shared" si="9"/>
        <v>2</v>
      </c>
    </row>
    <row r="56" spans="1:16" x14ac:dyDescent="0.2">
      <c r="A56" s="1" t="s">
        <v>202</v>
      </c>
      <c r="B56" s="26">
        <v>0.17499999999999999</v>
      </c>
      <c r="C56" s="3"/>
      <c r="D56" s="3"/>
      <c r="E56" s="38">
        <f t="shared" si="10"/>
        <v>38402</v>
      </c>
      <c r="F56" s="9" t="s">
        <v>26</v>
      </c>
      <c r="G56" s="8">
        <v>17397</v>
      </c>
      <c r="H56" s="75">
        <f t="shared" si="7"/>
        <v>0</v>
      </c>
      <c r="I56" s="41">
        <f t="shared" si="11"/>
        <v>38430</v>
      </c>
      <c r="J56" s="11">
        <v>0.77083333333333337</v>
      </c>
      <c r="K56" s="10">
        <v>17479</v>
      </c>
      <c r="L56" s="30">
        <f t="shared" si="8"/>
        <v>3</v>
      </c>
      <c r="M56" s="43">
        <f t="shared" si="12"/>
        <v>38461</v>
      </c>
      <c r="N56" s="13">
        <v>0.77083333333333337</v>
      </c>
      <c r="O56" s="12">
        <v>17507</v>
      </c>
      <c r="P56" s="23">
        <f t="shared" si="9"/>
        <v>2</v>
      </c>
    </row>
    <row r="57" spans="1:16" x14ac:dyDescent="0.2">
      <c r="A57" s="1" t="s">
        <v>203</v>
      </c>
      <c r="B57" s="26">
        <v>0.17</v>
      </c>
      <c r="C57" s="3"/>
      <c r="D57" s="3"/>
      <c r="E57" s="38">
        <f t="shared" si="10"/>
        <v>38403</v>
      </c>
      <c r="F57" s="9">
        <v>0.77083333333333337</v>
      </c>
      <c r="G57" s="8">
        <v>17409</v>
      </c>
      <c r="H57" s="75">
        <f t="shared" si="7"/>
        <v>12</v>
      </c>
      <c r="I57" s="41">
        <f t="shared" si="11"/>
        <v>38431</v>
      </c>
      <c r="J57" s="11">
        <v>0.77083333333333337</v>
      </c>
      <c r="K57" s="10">
        <v>17481</v>
      </c>
      <c r="L57" s="30">
        <f t="shared" si="8"/>
        <v>2</v>
      </c>
      <c r="M57" s="43">
        <f t="shared" si="12"/>
        <v>38462</v>
      </c>
      <c r="N57" s="13">
        <v>0.77083333333333337</v>
      </c>
      <c r="O57" s="12">
        <v>17509</v>
      </c>
      <c r="P57" s="23">
        <f t="shared" si="9"/>
        <v>2</v>
      </c>
    </row>
    <row r="58" spans="1:16" x14ac:dyDescent="0.2">
      <c r="A58" s="1"/>
      <c r="B58" s="2"/>
      <c r="C58" s="3"/>
      <c r="D58" s="3"/>
      <c r="E58" s="38">
        <f t="shared" si="10"/>
        <v>38404</v>
      </c>
      <c r="F58" s="9">
        <v>0.77083333333333337</v>
      </c>
      <c r="G58" s="8">
        <v>17416</v>
      </c>
      <c r="H58" s="75">
        <f t="shared" si="7"/>
        <v>7</v>
      </c>
      <c r="I58" s="41">
        <f t="shared" si="11"/>
        <v>38432</v>
      </c>
      <c r="J58" s="11">
        <v>0.77083333333333337</v>
      </c>
      <c r="K58" s="10">
        <v>17481</v>
      </c>
      <c r="L58" s="30">
        <f t="shared" si="8"/>
        <v>0</v>
      </c>
      <c r="M58" s="43">
        <f t="shared" si="12"/>
        <v>38463</v>
      </c>
      <c r="N58" s="13" t="s">
        <v>25</v>
      </c>
      <c r="O58" s="12">
        <v>17509</v>
      </c>
      <c r="P58" s="23">
        <f t="shared" si="9"/>
        <v>0</v>
      </c>
    </row>
    <row r="59" spans="1:16" x14ac:dyDescent="0.2">
      <c r="A59" s="1" t="s">
        <v>90</v>
      </c>
      <c r="B59" s="26">
        <v>56.17</v>
      </c>
      <c r="C59" s="3" t="s">
        <v>86</v>
      </c>
      <c r="D59" s="3"/>
      <c r="E59" s="38">
        <f t="shared" si="10"/>
        <v>38405</v>
      </c>
      <c r="F59" s="9">
        <v>0.77083333333333337</v>
      </c>
      <c r="G59" s="8">
        <v>17422</v>
      </c>
      <c r="H59" s="75">
        <f t="shared" si="7"/>
        <v>6</v>
      </c>
      <c r="I59" s="41">
        <f t="shared" si="11"/>
        <v>38433</v>
      </c>
      <c r="J59" s="11">
        <v>0.77083333333333337</v>
      </c>
      <c r="K59" s="10">
        <v>17481</v>
      </c>
      <c r="L59" s="30">
        <f t="shared" si="8"/>
        <v>0</v>
      </c>
      <c r="M59" s="43">
        <f t="shared" si="12"/>
        <v>38464</v>
      </c>
      <c r="N59" s="13" t="s">
        <v>26</v>
      </c>
      <c r="O59" s="12">
        <v>17509</v>
      </c>
      <c r="P59" s="23">
        <f t="shared" si="9"/>
        <v>0</v>
      </c>
    </row>
    <row r="60" spans="1:16" x14ac:dyDescent="0.2">
      <c r="A60" s="1" t="s">
        <v>54</v>
      </c>
      <c r="B60" s="26">
        <v>40.340000000000003</v>
      </c>
      <c r="C60" s="3" t="s">
        <v>86</v>
      </c>
      <c r="D60" s="3"/>
      <c r="E60" s="38">
        <f t="shared" si="10"/>
        <v>38406</v>
      </c>
      <c r="F60" s="9">
        <v>0.77083333333333337</v>
      </c>
      <c r="G60" s="8">
        <v>17427</v>
      </c>
      <c r="H60" s="75">
        <f t="shared" si="7"/>
        <v>5</v>
      </c>
      <c r="I60" s="41">
        <f t="shared" si="11"/>
        <v>38434</v>
      </c>
      <c r="J60" s="11">
        <v>0.77083333333333337</v>
      </c>
      <c r="K60" s="10">
        <v>17481</v>
      </c>
      <c r="L60" s="30">
        <f t="shared" si="8"/>
        <v>0</v>
      </c>
      <c r="M60" s="43">
        <f t="shared" si="12"/>
        <v>38465</v>
      </c>
      <c r="N60" s="13">
        <v>0.77083333333333337</v>
      </c>
      <c r="O60" s="12">
        <v>17509</v>
      </c>
      <c r="P60" s="23">
        <f t="shared" si="9"/>
        <v>0</v>
      </c>
    </row>
    <row r="61" spans="1:16" x14ac:dyDescent="0.2">
      <c r="A61" s="1" t="s">
        <v>89</v>
      </c>
      <c r="B61" s="26">
        <v>-27.01</v>
      </c>
      <c r="C61" s="3" t="s">
        <v>86</v>
      </c>
      <c r="D61" s="3"/>
      <c r="E61" s="38">
        <f t="shared" si="10"/>
        <v>38407</v>
      </c>
      <c r="F61" s="9">
        <v>0.77083333333333337</v>
      </c>
      <c r="G61" s="8">
        <v>17431</v>
      </c>
      <c r="H61" s="75">
        <f t="shared" si="7"/>
        <v>4</v>
      </c>
      <c r="I61" s="41">
        <f t="shared" si="11"/>
        <v>38435</v>
      </c>
      <c r="J61" s="11" t="s">
        <v>25</v>
      </c>
      <c r="K61" s="10">
        <v>17481</v>
      </c>
      <c r="L61" s="30">
        <f t="shared" si="8"/>
        <v>0</v>
      </c>
      <c r="M61" s="43">
        <f t="shared" si="12"/>
        <v>38466</v>
      </c>
      <c r="N61" s="114" t="s">
        <v>226</v>
      </c>
      <c r="O61" s="115">
        <v>17510</v>
      </c>
      <c r="P61" s="23">
        <f t="shared" si="9"/>
        <v>1</v>
      </c>
    </row>
    <row r="62" spans="1:16" x14ac:dyDescent="0.2">
      <c r="A62" s="1" t="s">
        <v>91</v>
      </c>
      <c r="B62" s="26">
        <v>0</v>
      </c>
      <c r="C62" s="3" t="s">
        <v>86</v>
      </c>
      <c r="D62" s="3"/>
      <c r="E62" s="38">
        <f t="shared" si="10"/>
        <v>38408</v>
      </c>
      <c r="F62" s="9" t="s">
        <v>25</v>
      </c>
      <c r="G62" s="8">
        <v>17431</v>
      </c>
      <c r="H62" s="75">
        <f t="shared" si="7"/>
        <v>0</v>
      </c>
      <c r="I62" s="41">
        <f t="shared" si="11"/>
        <v>38436</v>
      </c>
      <c r="J62" s="11" t="s">
        <v>26</v>
      </c>
      <c r="K62" s="10">
        <v>17481</v>
      </c>
      <c r="L62" s="30">
        <f t="shared" si="8"/>
        <v>0</v>
      </c>
      <c r="M62" s="43">
        <f t="shared" si="12"/>
        <v>38467</v>
      </c>
      <c r="N62" s="13">
        <v>0.77083333333333337</v>
      </c>
      <c r="O62" s="12">
        <v>17510</v>
      </c>
      <c r="P62" s="23">
        <f t="shared" si="9"/>
        <v>0</v>
      </c>
    </row>
    <row r="63" spans="1:16" x14ac:dyDescent="0.2">
      <c r="A63" s="1"/>
      <c r="B63" s="2"/>
      <c r="C63" s="3"/>
      <c r="D63" s="3"/>
      <c r="E63" s="38">
        <v>38774</v>
      </c>
      <c r="F63" s="9" t="s">
        <v>26</v>
      </c>
      <c r="G63" s="8">
        <v>17431</v>
      </c>
      <c r="H63" s="75">
        <f>IF(AND(H62&lt;&gt;"",G63&lt;&gt;""),G63-G62,"")</f>
        <v>0</v>
      </c>
      <c r="I63" s="41">
        <v>38802</v>
      </c>
      <c r="J63" s="11">
        <v>0.77083333333333337</v>
      </c>
      <c r="K63" s="10">
        <v>17481</v>
      </c>
      <c r="L63" s="30">
        <f t="shared" si="8"/>
        <v>0</v>
      </c>
      <c r="M63" s="43">
        <f t="shared" si="12"/>
        <v>38468</v>
      </c>
      <c r="N63" s="13">
        <v>0.77083333333333337</v>
      </c>
      <c r="O63" s="12">
        <v>17512</v>
      </c>
      <c r="P63" s="23">
        <f t="shared" si="9"/>
        <v>2</v>
      </c>
    </row>
    <row r="64" spans="1:16" x14ac:dyDescent="0.2">
      <c r="A64" s="1" t="s">
        <v>100</v>
      </c>
      <c r="B64" s="71">
        <f>SUM(B59:B62)</f>
        <v>69.5</v>
      </c>
      <c r="C64" s="3" t="s">
        <v>86</v>
      </c>
      <c r="E64" s="38">
        <v>38775</v>
      </c>
      <c r="F64" s="9">
        <v>0.77083333333333337</v>
      </c>
      <c r="G64" s="8">
        <v>17435</v>
      </c>
      <c r="H64" s="75">
        <f>IF(AND(H63&lt;&gt;"",G64&lt;&gt;""),G64-G63,"")</f>
        <v>4</v>
      </c>
      <c r="I64" s="41">
        <v>38803</v>
      </c>
      <c r="J64" s="11">
        <v>0.77083333333333337</v>
      </c>
      <c r="K64" s="10">
        <v>17481</v>
      </c>
      <c r="L64" s="30">
        <f t="shared" si="8"/>
        <v>0</v>
      </c>
      <c r="M64" s="43">
        <f t="shared" si="12"/>
        <v>38469</v>
      </c>
      <c r="N64" s="13">
        <v>0.77083333333333337</v>
      </c>
      <c r="O64" s="12">
        <v>17512</v>
      </c>
      <c r="P64" s="23">
        <f t="shared" si="9"/>
        <v>0</v>
      </c>
    </row>
    <row r="65" spans="1:16" x14ac:dyDescent="0.2">
      <c r="A65" s="1" t="s">
        <v>194</v>
      </c>
      <c r="B65" s="102">
        <v>1.0213190000000001</v>
      </c>
      <c r="E65" s="38">
        <v>38776</v>
      </c>
      <c r="F65" s="9">
        <v>0.77083333333333337</v>
      </c>
      <c r="G65" s="8">
        <v>17439</v>
      </c>
      <c r="H65" s="75">
        <f>IF(AND(H64&lt;&gt;"",G65&lt;&gt;""),G65-G64,"")</f>
        <v>4</v>
      </c>
      <c r="I65" s="41">
        <v>38804</v>
      </c>
      <c r="J65" s="11">
        <v>0.77083333333333337</v>
      </c>
      <c r="K65" s="10">
        <v>17485</v>
      </c>
      <c r="L65" s="30">
        <f t="shared" si="8"/>
        <v>4</v>
      </c>
      <c r="M65" s="43">
        <f t="shared" si="12"/>
        <v>38470</v>
      </c>
      <c r="N65" s="13" t="s">
        <v>25</v>
      </c>
      <c r="O65" s="12">
        <v>17512</v>
      </c>
      <c r="P65" s="23">
        <f t="shared" si="9"/>
        <v>0</v>
      </c>
    </row>
    <row r="66" spans="1:16" x14ac:dyDescent="0.2">
      <c r="E66" s="38" t="s">
        <v>204</v>
      </c>
      <c r="F66" s="9">
        <v>0.77083333333333337</v>
      </c>
      <c r="G66" s="8">
        <v>17442</v>
      </c>
      <c r="H66" s="75">
        <f>IF(AND(H65&lt;&gt;"",G66&lt;&gt;""),G66-G65,"")</f>
        <v>3</v>
      </c>
      <c r="I66" s="41">
        <v>38805</v>
      </c>
      <c r="J66" s="11">
        <v>0.77083333333333337</v>
      </c>
      <c r="K66" s="10">
        <v>17485</v>
      </c>
      <c r="L66" s="30">
        <f t="shared" si="8"/>
        <v>0</v>
      </c>
      <c r="M66" s="43">
        <f t="shared" si="12"/>
        <v>38471</v>
      </c>
      <c r="N66" s="13" t="s">
        <v>26</v>
      </c>
      <c r="O66" s="12">
        <v>17512</v>
      </c>
      <c r="P66" s="23">
        <f t="shared" si="9"/>
        <v>0</v>
      </c>
    </row>
    <row r="67" spans="1:16" x14ac:dyDescent="0.2">
      <c r="A67" s="72" t="s">
        <v>24</v>
      </c>
      <c r="B67" s="55">
        <f ca="1">B2</f>
        <v>922.5307492477898</v>
      </c>
      <c r="E67" s="38"/>
      <c r="F67" s="8"/>
      <c r="G67" s="8"/>
      <c r="H67" s="75" t="str">
        <f>IF(AND(H61&lt;&gt;"",G67&lt;&gt;""),G67-G61,"")</f>
        <v/>
      </c>
      <c r="I67" s="41">
        <v>38806</v>
      </c>
      <c r="J67" s="11">
        <v>0.77083333333333337</v>
      </c>
      <c r="K67" s="10">
        <v>17485</v>
      </c>
      <c r="L67" s="30">
        <f t="shared" si="8"/>
        <v>0</v>
      </c>
      <c r="M67" s="43">
        <f t="shared" si="12"/>
        <v>38472</v>
      </c>
      <c r="N67" s="13">
        <v>0.77083333333333337</v>
      </c>
      <c r="O67" s="12">
        <v>17512</v>
      </c>
      <c r="P67" s="23">
        <f t="shared" si="9"/>
        <v>0</v>
      </c>
    </row>
    <row r="68" spans="1:16" x14ac:dyDescent="0.2">
      <c r="A68" s="1"/>
      <c r="B68" s="2"/>
      <c r="C68" s="3"/>
      <c r="D68" s="3"/>
      <c r="E68" s="38"/>
      <c r="F68" s="8"/>
      <c r="G68" s="8"/>
      <c r="H68" s="75" t="str">
        <f>IF(AND(H62&lt;&gt;"",G68&lt;&gt;""),G68-G62,"")</f>
        <v/>
      </c>
      <c r="I68" s="41">
        <v>38807</v>
      </c>
      <c r="J68" s="11" t="s">
        <v>25</v>
      </c>
      <c r="K68" s="10">
        <v>17485</v>
      </c>
      <c r="L68" s="30">
        <f t="shared" si="8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A69" s="1"/>
      <c r="B69" s="2"/>
      <c r="C69" s="3"/>
      <c r="D69" s="3"/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8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/>
  </sheetData>
  <mergeCells count="2">
    <mergeCell ref="C6:D6"/>
    <mergeCell ref="C8:D8"/>
  </mergeCells>
  <conditionalFormatting sqref="P4">
    <cfRule type="cellIs" dxfId="13" priority="4" stopIfTrue="1" operator="lessThan">
      <formula>0</formula>
    </cfRule>
    <cfRule type="cellIs" dxfId="12" priority="5" stopIfTrue="1" operator="lessThan">
      <formula>0</formula>
    </cfRule>
  </conditionalFormatting>
  <conditionalFormatting sqref="L38">
    <cfRule type="cellIs" dxfId="11" priority="3" stopIfTrue="1" operator="lessThan">
      <formula>0</formula>
    </cfRule>
  </conditionalFormatting>
  <conditionalFormatting sqref="H38">
    <cfRule type="cellIs" dxfId="10" priority="2" stopIfTrue="1" operator="lessThan">
      <formula>0</formula>
    </cfRule>
  </conditionalFormatting>
  <conditionalFormatting sqref="P3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K54" sqref="K54"/>
    </sheetView>
  </sheetViews>
  <sheetFormatPr defaultRowHeight="12.75" x14ac:dyDescent="0.2"/>
  <cols>
    <col min="1" max="1" width="26.140625" bestFit="1" customWidth="1"/>
    <col min="2" max="2" width="9.42578125" bestFit="1" customWidth="1"/>
    <col min="3" max="3" width="8.5703125" bestFit="1" customWidth="1"/>
    <col min="4" max="4" width="10.42578125" bestFit="1" customWidth="1"/>
    <col min="6" max="6" width="9.28515625" bestFit="1" customWidth="1"/>
    <col min="7" max="7" width="5.5703125" bestFit="1" customWidth="1"/>
    <col min="8" max="8" width="6.7109375" bestFit="1" customWidth="1"/>
    <col min="9" max="9" width="4.28515625" style="78" bestFit="1" customWidth="1"/>
    <col min="10" max="10" width="8.7109375" bestFit="1" customWidth="1"/>
    <col min="11" max="11" width="5.5703125" bestFit="1" customWidth="1"/>
    <col min="12" max="12" width="6.7109375" bestFit="1" customWidth="1"/>
    <col min="13" max="13" width="4.28515625" bestFit="1" customWidth="1"/>
    <col min="14" max="14" width="7.5703125" bestFit="1" customWidth="1"/>
    <col min="15" max="15" width="5.5703125" bestFit="1" customWidth="1"/>
    <col min="16" max="16" width="6.7109375" bestFit="1" customWidth="1"/>
    <col min="17" max="17" width="4.28515625" bestFit="1" customWidth="1"/>
  </cols>
  <sheetData>
    <row r="1" spans="1:17" ht="13.5" thickBot="1" x14ac:dyDescent="0.25">
      <c r="A1" s="1"/>
      <c r="B1" s="2"/>
      <c r="C1" s="3"/>
      <c r="D1" s="3"/>
      <c r="E1" s="14"/>
      <c r="F1" s="36"/>
      <c r="G1" s="1"/>
      <c r="H1" s="1"/>
      <c r="I1" s="73"/>
      <c r="J1" s="40"/>
      <c r="K1" s="34"/>
      <c r="L1" s="56"/>
      <c r="M1" s="14"/>
      <c r="N1" s="40"/>
      <c r="O1" s="14"/>
      <c r="P1" s="14"/>
      <c r="Q1" s="14"/>
    </row>
    <row r="2" spans="1:17" ht="13.5" thickTop="1" x14ac:dyDescent="0.2">
      <c r="A2" s="1" t="s">
        <v>24</v>
      </c>
      <c r="B2" s="55">
        <f>IF(D48="",D49,D48+D49)</f>
        <v>81.216516033079074</v>
      </c>
      <c r="C2" s="3"/>
      <c r="D2" s="3"/>
      <c r="E2" s="14"/>
      <c r="F2" s="37" t="s">
        <v>19</v>
      </c>
      <c r="G2" s="19" t="s">
        <v>10</v>
      </c>
      <c r="H2" s="19" t="s">
        <v>9</v>
      </c>
      <c r="I2" s="74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A3" s="1" t="s">
        <v>189</v>
      </c>
      <c r="B3" s="26">
        <v>550.12</v>
      </c>
      <c r="C3" s="3"/>
      <c r="D3" s="3"/>
      <c r="E3" s="14"/>
      <c r="F3" s="38"/>
      <c r="G3" s="8"/>
      <c r="H3" s="8"/>
      <c r="I3" s="75"/>
      <c r="J3" s="46"/>
      <c r="K3" s="11"/>
      <c r="L3" s="10"/>
      <c r="M3" s="30"/>
      <c r="N3" s="49"/>
      <c r="O3" s="12"/>
      <c r="P3" s="12"/>
      <c r="Q3" s="23"/>
    </row>
    <row r="4" spans="1:17" x14ac:dyDescent="0.2">
      <c r="A4" s="1"/>
      <c r="B4" s="2"/>
      <c r="C4" s="3"/>
      <c r="D4" s="3"/>
      <c r="E4" s="14"/>
      <c r="F4" s="38">
        <v>39387</v>
      </c>
      <c r="G4" s="9">
        <v>0.77083333333333337</v>
      </c>
      <c r="H4" s="8">
        <v>16114</v>
      </c>
      <c r="I4" s="76">
        <f>IF(H4-B16&lt;0,0,0)</f>
        <v>0</v>
      </c>
      <c r="J4" s="46">
        <v>38687</v>
      </c>
      <c r="K4" s="11">
        <v>0.77083333333333337</v>
      </c>
      <c r="L4" s="10">
        <v>16206</v>
      </c>
      <c r="M4" s="30">
        <f>IF(AND(I35&lt;&gt;"",L4&lt;&gt;""),L4-L3,L4-MAX(H4:H35))</f>
        <v>7</v>
      </c>
      <c r="N4" s="43">
        <v>38353</v>
      </c>
      <c r="O4" s="13" t="s">
        <v>33</v>
      </c>
      <c r="P4" s="12">
        <v>16394</v>
      </c>
      <c r="Q4" s="23">
        <f>IF(AND(M35&lt;&gt;"",P4&lt;&gt;""),P4-P3,P4-MAX(L4:L34))</f>
        <v>19</v>
      </c>
    </row>
    <row r="5" spans="1:17" x14ac:dyDescent="0.2">
      <c r="A5" s="1" t="s">
        <v>206</v>
      </c>
      <c r="B5" s="26">
        <v>64.02</v>
      </c>
      <c r="C5" s="131"/>
      <c r="D5" s="132"/>
      <c r="E5" s="14"/>
      <c r="F5" s="38">
        <f>F4+1</f>
        <v>39388</v>
      </c>
      <c r="G5" s="9">
        <v>0.77083333333333337</v>
      </c>
      <c r="H5" s="8">
        <v>16129</v>
      </c>
      <c r="I5" s="75">
        <f t="shared" ref="I5:I35" si="0">IF(AND(I4&lt;&gt;"",H5&lt;&gt;""),H5-H4,"")</f>
        <v>15</v>
      </c>
      <c r="J5" s="41">
        <f>J4+1</f>
        <v>38688</v>
      </c>
      <c r="K5" s="11">
        <v>0.77083333333333337</v>
      </c>
      <c r="L5" s="10">
        <v>16215</v>
      </c>
      <c r="M5" s="30">
        <f>IF(AND(M4&lt;&gt;"",L5&lt;&gt;""),L5-L4,"")</f>
        <v>9</v>
      </c>
      <c r="N5" s="43">
        <f>N4+1</f>
        <v>38354</v>
      </c>
      <c r="O5" s="13" t="s">
        <v>26</v>
      </c>
      <c r="P5" s="12">
        <v>16394</v>
      </c>
      <c r="Q5" s="23">
        <f>IF(AND(Q4&lt;&gt;"",P5&lt;&gt;""),P5-P4,"")</f>
        <v>0</v>
      </c>
    </row>
    <row r="6" spans="1:17" x14ac:dyDescent="0.2">
      <c r="A6" s="1" t="s">
        <v>207</v>
      </c>
      <c r="B6" s="26">
        <v>81.3</v>
      </c>
      <c r="C6" s="131"/>
      <c r="D6" s="132"/>
      <c r="E6" s="14"/>
      <c r="F6" s="38">
        <f t="shared" ref="F6:F33" si="1">F5+1</f>
        <v>39389</v>
      </c>
      <c r="G6" s="9">
        <v>0.77083333333333337</v>
      </c>
      <c r="H6" s="8">
        <v>16129</v>
      </c>
      <c r="I6" s="75">
        <f t="shared" si="0"/>
        <v>0</v>
      </c>
      <c r="J6" s="41">
        <f t="shared" ref="J6:J29" si="2">J5+1</f>
        <v>38689</v>
      </c>
      <c r="K6" s="11">
        <v>0.77083333333333337</v>
      </c>
      <c r="L6" s="10">
        <v>16222</v>
      </c>
      <c r="M6" s="30">
        <f>IF(AND(M5&lt;&gt;"",L6&lt;&gt;""),L6-L5,"")</f>
        <v>7</v>
      </c>
      <c r="N6" s="43">
        <f t="shared" ref="N6:N29" si="3">N5+1</f>
        <v>38355</v>
      </c>
      <c r="O6" s="13">
        <v>0.77083333333333337</v>
      </c>
      <c r="P6" s="12">
        <v>16402</v>
      </c>
      <c r="Q6" s="23">
        <f t="shared" ref="Q6:Q35" si="4">IF(AND(Q5&lt;&gt;"",P6&lt;&gt;""),P6-P5,"")</f>
        <v>8</v>
      </c>
    </row>
    <row r="7" spans="1:17" x14ac:dyDescent="0.2">
      <c r="A7" s="1" t="s">
        <v>209</v>
      </c>
      <c r="B7" s="26">
        <v>73.77</v>
      </c>
      <c r="C7" s="131"/>
      <c r="D7" s="132"/>
      <c r="E7" s="14"/>
      <c r="F7" s="38">
        <f t="shared" si="1"/>
        <v>39390</v>
      </c>
      <c r="G7" s="9">
        <v>0.77083333333333337</v>
      </c>
      <c r="H7" s="8">
        <v>16130</v>
      </c>
      <c r="I7" s="75">
        <f t="shared" si="0"/>
        <v>1</v>
      </c>
      <c r="J7" s="41">
        <f t="shared" si="2"/>
        <v>38690</v>
      </c>
      <c r="K7" s="11" t="s">
        <v>25</v>
      </c>
      <c r="L7" s="10">
        <v>16222</v>
      </c>
      <c r="M7" s="30">
        <f>IF(AND(M6&lt;&gt;"",L7&lt;&gt;""),L7-L6,"")</f>
        <v>0</v>
      </c>
      <c r="N7" s="43">
        <f t="shared" si="3"/>
        <v>38356</v>
      </c>
      <c r="O7" s="13">
        <v>0.77083333333333337</v>
      </c>
      <c r="P7" s="12">
        <v>16413</v>
      </c>
      <c r="Q7" s="23">
        <f t="shared" si="4"/>
        <v>11</v>
      </c>
    </row>
    <row r="8" spans="1:17" x14ac:dyDescent="0.2">
      <c r="A8" s="1" t="s">
        <v>211</v>
      </c>
      <c r="B8" s="26">
        <v>326.18</v>
      </c>
      <c r="C8" s="133"/>
      <c r="D8" s="133"/>
      <c r="E8" s="14"/>
      <c r="F8" s="38">
        <f t="shared" si="1"/>
        <v>39391</v>
      </c>
      <c r="G8" s="9">
        <v>0.77083333333333337</v>
      </c>
      <c r="H8" s="8">
        <v>16130</v>
      </c>
      <c r="I8" s="75">
        <f t="shared" si="0"/>
        <v>0</v>
      </c>
      <c r="J8" s="41">
        <f t="shared" si="2"/>
        <v>38691</v>
      </c>
      <c r="K8" s="11" t="s">
        <v>26</v>
      </c>
      <c r="L8" s="10">
        <v>16222</v>
      </c>
      <c r="M8" s="30">
        <f>IF(AND(M7&lt;&gt;"",L8&lt;&gt;""),L8-L7,"")</f>
        <v>0</v>
      </c>
      <c r="N8" s="43">
        <f t="shared" si="3"/>
        <v>38357</v>
      </c>
      <c r="O8" s="13">
        <v>0.77083333333333337</v>
      </c>
      <c r="P8" s="12">
        <v>16422</v>
      </c>
      <c r="Q8" s="23">
        <f t="shared" si="4"/>
        <v>9</v>
      </c>
    </row>
    <row r="9" spans="1:17" x14ac:dyDescent="0.2">
      <c r="A9" s="1" t="s">
        <v>224</v>
      </c>
      <c r="B9" s="26">
        <v>81.42</v>
      </c>
      <c r="E9" s="14"/>
      <c r="F9" s="38">
        <f t="shared" si="1"/>
        <v>39392</v>
      </c>
      <c r="G9" s="9" t="s">
        <v>25</v>
      </c>
      <c r="H9" s="8">
        <v>16130</v>
      </c>
      <c r="I9" s="75">
        <f t="shared" si="0"/>
        <v>0</v>
      </c>
      <c r="J9" s="41">
        <f t="shared" si="2"/>
        <v>38692</v>
      </c>
      <c r="K9" s="11">
        <v>0.77083333333333337</v>
      </c>
      <c r="L9" s="10">
        <v>16235</v>
      </c>
      <c r="M9" s="30">
        <f>IF(AND(M8&lt;&gt;"",L9&lt;&gt;""),L9-L8,"")</f>
        <v>13</v>
      </c>
      <c r="N9" s="43">
        <f t="shared" si="3"/>
        <v>38358</v>
      </c>
      <c r="O9" s="13" t="s">
        <v>83</v>
      </c>
      <c r="P9" s="12">
        <v>16422</v>
      </c>
      <c r="Q9" s="23">
        <f t="shared" si="4"/>
        <v>0</v>
      </c>
    </row>
    <row r="10" spans="1:17" x14ac:dyDescent="0.2">
      <c r="E10" s="14"/>
      <c r="F10" s="38">
        <f t="shared" si="1"/>
        <v>39393</v>
      </c>
      <c r="G10" s="9" t="s">
        <v>26</v>
      </c>
      <c r="H10" s="8">
        <v>16130</v>
      </c>
      <c r="I10" s="75">
        <f t="shared" si="0"/>
        <v>0</v>
      </c>
      <c r="J10" s="41">
        <f t="shared" si="2"/>
        <v>38693</v>
      </c>
      <c r="K10" s="11">
        <v>0.77083333333333337</v>
      </c>
      <c r="L10" s="10">
        <v>16243</v>
      </c>
      <c r="M10" s="30">
        <f t="shared" ref="M10:M35" si="5">IF(AND(M9&lt;&gt;"",L10&lt;&gt;""),L10-L9,"")</f>
        <v>8</v>
      </c>
      <c r="N10" s="43">
        <f t="shared" si="3"/>
        <v>38359</v>
      </c>
      <c r="O10" s="13">
        <v>0.77083333333333337</v>
      </c>
      <c r="P10" s="12">
        <v>16431</v>
      </c>
      <c r="Q10" s="23">
        <f t="shared" si="4"/>
        <v>9</v>
      </c>
    </row>
    <row r="11" spans="1:17" x14ac:dyDescent="0.2">
      <c r="A11" s="63" t="s">
        <v>109</v>
      </c>
      <c r="B11" s="64">
        <f>SUM(B5:B9)</f>
        <v>626.68999999999994</v>
      </c>
      <c r="C11" s="3"/>
      <c r="D11" s="3"/>
      <c r="E11" s="14"/>
      <c r="F11" s="38">
        <f t="shared" si="1"/>
        <v>39394</v>
      </c>
      <c r="G11" s="9">
        <v>0.77083333333333337</v>
      </c>
      <c r="H11" s="8">
        <v>16130</v>
      </c>
      <c r="I11" s="75">
        <f t="shared" si="0"/>
        <v>0</v>
      </c>
      <c r="J11" s="41">
        <f t="shared" si="2"/>
        <v>38694</v>
      </c>
      <c r="K11" s="11" t="s">
        <v>67</v>
      </c>
      <c r="L11" s="10">
        <v>16243</v>
      </c>
      <c r="M11" s="30">
        <f t="shared" si="5"/>
        <v>0</v>
      </c>
      <c r="N11" s="43">
        <f t="shared" si="3"/>
        <v>38360</v>
      </c>
      <c r="O11" s="13" t="s">
        <v>25</v>
      </c>
      <c r="P11" s="12">
        <v>16431</v>
      </c>
      <c r="Q11" s="23">
        <f t="shared" si="4"/>
        <v>0</v>
      </c>
    </row>
    <row r="12" spans="1:17" x14ac:dyDescent="0.2">
      <c r="A12" s="1" t="s">
        <v>110</v>
      </c>
      <c r="B12" s="27">
        <f>(MAX(H3:H33,L4:L34,P4:P34,H38:H65,L38:L68,P38:P67)-MIN(H4,H35))</f>
        <v>708</v>
      </c>
      <c r="C12" s="3"/>
      <c r="D12" s="3"/>
      <c r="E12" s="14"/>
      <c r="F12" s="38">
        <f t="shared" si="1"/>
        <v>39395</v>
      </c>
      <c r="G12" s="9">
        <v>0.77083333333333337</v>
      </c>
      <c r="H12" s="8">
        <v>16135</v>
      </c>
      <c r="I12" s="75">
        <f t="shared" si="0"/>
        <v>5</v>
      </c>
      <c r="J12" s="108">
        <f t="shared" si="2"/>
        <v>38695</v>
      </c>
      <c r="K12" s="11">
        <v>0.41666666666666669</v>
      </c>
      <c r="L12" s="95">
        <v>16245</v>
      </c>
      <c r="M12" s="30">
        <f t="shared" si="5"/>
        <v>2</v>
      </c>
      <c r="N12" s="43">
        <f t="shared" si="3"/>
        <v>38361</v>
      </c>
      <c r="O12" s="13" t="s">
        <v>26</v>
      </c>
      <c r="P12" s="12">
        <v>16431</v>
      </c>
      <c r="Q12" s="23">
        <f t="shared" si="4"/>
        <v>0</v>
      </c>
    </row>
    <row r="13" spans="1:17" x14ac:dyDescent="0.2">
      <c r="A13" s="1" t="s">
        <v>104</v>
      </c>
      <c r="B13" s="2">
        <f>(MAX(H4:H33,L4:L34)-'0910'!B16)*B65</f>
        <v>717.98092999999994</v>
      </c>
      <c r="C13" s="3"/>
      <c r="D13" s="3"/>
      <c r="E13" s="14"/>
      <c r="F13" s="38">
        <f t="shared" si="1"/>
        <v>39396</v>
      </c>
      <c r="G13" s="9">
        <v>0.77083333333333337</v>
      </c>
      <c r="H13" s="8">
        <v>16138</v>
      </c>
      <c r="I13" s="75">
        <f t="shared" si="0"/>
        <v>3</v>
      </c>
      <c r="J13" s="41">
        <f t="shared" si="2"/>
        <v>38696</v>
      </c>
      <c r="K13" s="11">
        <v>0.77083333333333337</v>
      </c>
      <c r="L13" s="10">
        <v>16253</v>
      </c>
      <c r="M13" s="30">
        <f t="shared" si="5"/>
        <v>8</v>
      </c>
      <c r="N13" s="43">
        <f t="shared" si="3"/>
        <v>38362</v>
      </c>
      <c r="O13" s="13">
        <v>0.77083333333333337</v>
      </c>
      <c r="P13" s="12">
        <v>16448</v>
      </c>
      <c r="Q13" s="23">
        <f>IF(AND(Q12&lt;&gt;"",P13&lt;&gt;""),P13-P12,"")</f>
        <v>17</v>
      </c>
    </row>
    <row r="14" spans="1:17" x14ac:dyDescent="0.2">
      <c r="A14" s="1" t="s">
        <v>111</v>
      </c>
      <c r="B14" s="2">
        <f>IF(P4="",0,((MAX(P4:P34,H38:H68,L38:L68,P38:P68))-L34)*B65)</f>
        <v>456.52556999999996</v>
      </c>
      <c r="C14" s="3"/>
      <c r="D14" s="3"/>
      <c r="E14" s="14"/>
      <c r="F14" s="38">
        <f t="shared" si="1"/>
        <v>39397</v>
      </c>
      <c r="G14" s="9">
        <v>0.77083333333333337</v>
      </c>
      <c r="H14" s="8">
        <v>16140</v>
      </c>
      <c r="I14" s="75">
        <f t="shared" si="0"/>
        <v>2</v>
      </c>
      <c r="J14" s="41">
        <f t="shared" si="2"/>
        <v>38697</v>
      </c>
      <c r="K14" s="11" t="s">
        <v>25</v>
      </c>
      <c r="L14" s="10">
        <v>16253</v>
      </c>
      <c r="M14" s="30">
        <f t="shared" si="5"/>
        <v>0</v>
      </c>
      <c r="N14" s="43">
        <f t="shared" si="3"/>
        <v>38363</v>
      </c>
      <c r="O14" s="13">
        <v>0.77083333333333337</v>
      </c>
      <c r="P14" s="12">
        <v>16457</v>
      </c>
      <c r="Q14" s="23">
        <f t="shared" si="4"/>
        <v>9</v>
      </c>
    </row>
    <row r="15" spans="1:17" x14ac:dyDescent="0.2">
      <c r="C15" s="3"/>
      <c r="D15" s="3"/>
      <c r="E15" s="14"/>
      <c r="F15" s="38">
        <f t="shared" si="1"/>
        <v>39398</v>
      </c>
      <c r="G15" s="9">
        <v>0.77083333333333337</v>
      </c>
      <c r="H15" s="8">
        <v>16142</v>
      </c>
      <c r="I15" s="75">
        <f t="shared" si="0"/>
        <v>2</v>
      </c>
      <c r="J15" s="41">
        <f t="shared" si="2"/>
        <v>38698</v>
      </c>
      <c r="K15" s="11" t="s">
        <v>26</v>
      </c>
      <c r="L15" s="10">
        <v>16253</v>
      </c>
      <c r="M15" s="30">
        <f t="shared" si="5"/>
        <v>0</v>
      </c>
      <c r="N15" s="43">
        <f t="shared" si="3"/>
        <v>38364</v>
      </c>
      <c r="O15" s="13">
        <v>0.77083333333333337</v>
      </c>
      <c r="P15" s="12">
        <v>16464</v>
      </c>
      <c r="Q15" s="23">
        <f t="shared" si="4"/>
        <v>7</v>
      </c>
    </row>
    <row r="16" spans="1:17" x14ac:dyDescent="0.2">
      <c r="A16" s="1" t="s">
        <v>58</v>
      </c>
      <c r="B16" s="2">
        <v>16723</v>
      </c>
      <c r="C16" s="3"/>
      <c r="D16" s="103">
        <v>40602</v>
      </c>
      <c r="E16" s="14"/>
      <c r="F16" s="38">
        <f t="shared" si="1"/>
        <v>39399</v>
      </c>
      <c r="G16" s="9" t="s">
        <v>25</v>
      </c>
      <c r="H16" s="8">
        <v>16142</v>
      </c>
      <c r="I16" s="75">
        <f t="shared" si="0"/>
        <v>0</v>
      </c>
      <c r="J16" s="41">
        <f t="shared" si="2"/>
        <v>38699</v>
      </c>
      <c r="K16" s="11">
        <v>0.77083333333333337</v>
      </c>
      <c r="L16" s="10">
        <v>16264</v>
      </c>
      <c r="M16" s="30">
        <f t="shared" si="5"/>
        <v>11</v>
      </c>
      <c r="N16" s="43">
        <f t="shared" si="3"/>
        <v>38365</v>
      </c>
      <c r="O16" s="13">
        <v>0.77083333333333337</v>
      </c>
      <c r="P16" s="12">
        <v>16471</v>
      </c>
      <c r="Q16" s="23">
        <f t="shared" si="4"/>
        <v>7</v>
      </c>
    </row>
    <row r="17" spans="1:17" x14ac:dyDescent="0.2">
      <c r="A17" s="1" t="s">
        <v>112</v>
      </c>
      <c r="B17" s="2">
        <f>(B16-('0910'!B16))*B65</f>
        <v>1073.39681</v>
      </c>
      <c r="C17" s="3"/>
      <c r="D17" s="3"/>
      <c r="E17" s="14"/>
      <c r="F17" s="38">
        <f t="shared" si="1"/>
        <v>39400</v>
      </c>
      <c r="G17" s="9" t="s">
        <v>26</v>
      </c>
      <c r="H17" s="8">
        <v>16142</v>
      </c>
      <c r="I17" s="75">
        <f t="shared" si="0"/>
        <v>0</v>
      </c>
      <c r="J17" s="41">
        <f t="shared" si="2"/>
        <v>38700</v>
      </c>
      <c r="K17" s="11">
        <v>0.77083333333333337</v>
      </c>
      <c r="L17" s="10">
        <v>16271</v>
      </c>
      <c r="M17" s="30">
        <f t="shared" si="5"/>
        <v>7</v>
      </c>
      <c r="N17" s="43">
        <f t="shared" si="3"/>
        <v>38366</v>
      </c>
      <c r="O17" s="13">
        <v>0.77083333333333337</v>
      </c>
      <c r="P17" s="12">
        <v>16478</v>
      </c>
      <c r="Q17" s="23">
        <f t="shared" si="4"/>
        <v>7</v>
      </c>
    </row>
    <row r="18" spans="1:17" x14ac:dyDescent="0.2">
      <c r="A18" s="1" t="s">
        <v>199</v>
      </c>
      <c r="B18" s="2">
        <f>IF(OR(P4&gt;B16,P4=""),0,B16-L34)</f>
        <v>348</v>
      </c>
      <c r="C18" s="3"/>
      <c r="D18" s="3"/>
      <c r="E18" s="14"/>
      <c r="F18" s="38">
        <f t="shared" si="1"/>
        <v>39401</v>
      </c>
      <c r="G18" s="9">
        <v>0.77083333333333337</v>
      </c>
      <c r="H18" s="8">
        <v>16147</v>
      </c>
      <c r="I18" s="75">
        <f t="shared" si="0"/>
        <v>5</v>
      </c>
      <c r="J18" s="41">
        <f t="shared" si="2"/>
        <v>38701</v>
      </c>
      <c r="K18" s="11">
        <v>0.77083333333333337</v>
      </c>
      <c r="L18" s="10">
        <v>16280</v>
      </c>
      <c r="M18" s="30">
        <f t="shared" si="5"/>
        <v>9</v>
      </c>
      <c r="N18" s="43">
        <f t="shared" si="3"/>
        <v>38367</v>
      </c>
      <c r="O18" s="13" t="s">
        <v>25</v>
      </c>
      <c r="P18" s="12">
        <v>16478</v>
      </c>
      <c r="Q18" s="23">
        <f t="shared" si="4"/>
        <v>0</v>
      </c>
    </row>
    <row r="19" spans="1:17" x14ac:dyDescent="0.2">
      <c r="E19" s="14"/>
      <c r="F19" s="38">
        <f t="shared" si="1"/>
        <v>39402</v>
      </c>
      <c r="G19" s="9">
        <v>0.77083333333333337</v>
      </c>
      <c r="H19" s="8">
        <v>16149</v>
      </c>
      <c r="I19" s="75">
        <f t="shared" si="0"/>
        <v>2</v>
      </c>
      <c r="J19" s="41">
        <f t="shared" si="2"/>
        <v>38702</v>
      </c>
      <c r="K19" s="11">
        <v>0.77083333333333337</v>
      </c>
      <c r="L19" s="10">
        <v>16290</v>
      </c>
      <c r="M19" s="30">
        <f t="shared" si="5"/>
        <v>10</v>
      </c>
      <c r="N19" s="43">
        <f t="shared" si="3"/>
        <v>38368</v>
      </c>
      <c r="O19" s="13" t="s">
        <v>26</v>
      </c>
      <c r="P19" s="12">
        <v>16478</v>
      </c>
      <c r="Q19" s="23">
        <f t="shared" si="4"/>
        <v>0</v>
      </c>
    </row>
    <row r="20" spans="1:17" x14ac:dyDescent="0.2">
      <c r="A20" s="1" t="s">
        <v>195</v>
      </c>
      <c r="B20" s="2">
        <f>IF(AND(B13&gt;480,B17&lt;480),480-B17,0)</f>
        <v>0</v>
      </c>
      <c r="C20" s="3"/>
      <c r="D20" s="3"/>
      <c r="E20" s="14"/>
      <c r="F20" s="38">
        <f t="shared" si="1"/>
        <v>39403</v>
      </c>
      <c r="G20" s="9">
        <v>0.77083333333333337</v>
      </c>
      <c r="H20" s="8">
        <v>16151</v>
      </c>
      <c r="I20" s="75">
        <f t="shared" si="0"/>
        <v>2</v>
      </c>
      <c r="J20" s="41">
        <f t="shared" si="2"/>
        <v>38703</v>
      </c>
      <c r="K20" s="11">
        <v>0.77083333333333337</v>
      </c>
      <c r="L20" s="10">
        <v>16300</v>
      </c>
      <c r="M20" s="30">
        <f t="shared" si="5"/>
        <v>10</v>
      </c>
      <c r="N20" s="43">
        <f t="shared" si="3"/>
        <v>38369</v>
      </c>
      <c r="O20" s="13">
        <v>0.77083333333333337</v>
      </c>
      <c r="P20" s="12">
        <v>16492</v>
      </c>
      <c r="Q20" s="23">
        <f t="shared" si="4"/>
        <v>14</v>
      </c>
    </row>
    <row r="21" spans="1:17" x14ac:dyDescent="0.2">
      <c r="A21" s="1" t="s">
        <v>197</v>
      </c>
      <c r="B21" s="2">
        <f>IF(AND(B14&gt;0,B18=0),(L34-B16-B20)*B65,0)</f>
        <v>0</v>
      </c>
      <c r="C21" s="3"/>
      <c r="D21" s="3"/>
      <c r="E21" s="14"/>
      <c r="F21" s="38">
        <f t="shared" si="1"/>
        <v>39404</v>
      </c>
      <c r="G21" s="9">
        <v>0.77083333333333337</v>
      </c>
      <c r="H21" s="8">
        <v>16154</v>
      </c>
      <c r="I21" s="75">
        <f t="shared" si="0"/>
        <v>3</v>
      </c>
      <c r="J21" s="41">
        <f t="shared" si="2"/>
        <v>38704</v>
      </c>
      <c r="K21" s="11" t="s">
        <v>25</v>
      </c>
      <c r="L21" s="10">
        <v>16300</v>
      </c>
      <c r="M21" s="30">
        <f t="shared" si="5"/>
        <v>0</v>
      </c>
      <c r="N21" s="43">
        <f t="shared" si="3"/>
        <v>38370</v>
      </c>
      <c r="O21" s="13">
        <v>0.77083333333333337</v>
      </c>
      <c r="P21" s="12">
        <v>16500</v>
      </c>
      <c r="Q21" s="23">
        <f t="shared" si="4"/>
        <v>8</v>
      </c>
    </row>
    <row r="22" spans="1:17" x14ac:dyDescent="0.2">
      <c r="A22" s="1" t="s">
        <v>196</v>
      </c>
      <c r="B22" s="104">
        <f>IF(AND(B14&lt;120,B18&lt;120),B29,C22)</f>
        <v>0</v>
      </c>
      <c r="C22" s="104">
        <f>IF(AND(B14&gt;120,B14&gt;B18,B18*B65&gt;120),0,120-(B18*B65))</f>
        <v>0</v>
      </c>
      <c r="E22" s="14"/>
      <c r="F22" s="38">
        <f t="shared" si="1"/>
        <v>39405</v>
      </c>
      <c r="G22" s="9">
        <v>0.77083333333333337</v>
      </c>
      <c r="H22" s="8">
        <v>16156</v>
      </c>
      <c r="I22" s="75">
        <f t="shared" si="0"/>
        <v>2</v>
      </c>
      <c r="J22" s="41">
        <f t="shared" si="2"/>
        <v>38705</v>
      </c>
      <c r="K22" s="11" t="s">
        <v>26</v>
      </c>
      <c r="L22" s="10">
        <v>16300</v>
      </c>
      <c r="M22" s="30">
        <f t="shared" si="5"/>
        <v>0</v>
      </c>
      <c r="N22" s="43">
        <f t="shared" si="3"/>
        <v>38371</v>
      </c>
      <c r="O22" s="13">
        <v>0.77083333333333337</v>
      </c>
      <c r="P22" s="12">
        <v>16510</v>
      </c>
      <c r="Q22" s="23">
        <f t="shared" si="4"/>
        <v>10</v>
      </c>
    </row>
    <row r="23" spans="1:17" x14ac:dyDescent="0.2">
      <c r="A23" s="1" t="s">
        <v>198</v>
      </c>
      <c r="B23" s="104">
        <f>IF(B14=0,0,B29)</f>
        <v>101.10969</v>
      </c>
      <c r="E23" s="14"/>
      <c r="F23" s="38">
        <f t="shared" si="1"/>
        <v>39406</v>
      </c>
      <c r="G23" s="9" t="s">
        <v>25</v>
      </c>
      <c r="H23" s="8">
        <v>16156</v>
      </c>
      <c r="I23" s="75">
        <f t="shared" si="0"/>
        <v>0</v>
      </c>
      <c r="J23" s="41">
        <f t="shared" si="2"/>
        <v>38706</v>
      </c>
      <c r="K23" s="11">
        <v>0.77083333333333337</v>
      </c>
      <c r="L23" s="10">
        <v>16319</v>
      </c>
      <c r="M23" s="30">
        <f t="shared" si="5"/>
        <v>19</v>
      </c>
      <c r="N23" s="43">
        <f t="shared" si="3"/>
        <v>38372</v>
      </c>
      <c r="O23" s="13">
        <v>0.77083333333333337</v>
      </c>
      <c r="P23" s="12">
        <v>16519</v>
      </c>
      <c r="Q23" s="23">
        <f t="shared" si="4"/>
        <v>9</v>
      </c>
    </row>
    <row r="24" spans="1:17" x14ac:dyDescent="0.2">
      <c r="A24" s="1" t="s">
        <v>200</v>
      </c>
      <c r="B24" s="104">
        <f>IF(B43&gt;0,B29-B43-B45,B23)</f>
        <v>101.10969</v>
      </c>
      <c r="E24" s="14"/>
      <c r="F24" s="38">
        <f t="shared" si="1"/>
        <v>39407</v>
      </c>
      <c r="G24" s="9" t="s">
        <v>26</v>
      </c>
      <c r="H24" s="8">
        <v>16156</v>
      </c>
      <c r="I24" s="75">
        <f t="shared" si="0"/>
        <v>0</v>
      </c>
      <c r="J24" s="41">
        <f t="shared" si="2"/>
        <v>38707</v>
      </c>
      <c r="K24" s="11">
        <v>0.77083333333333337</v>
      </c>
      <c r="L24" s="10">
        <v>16329</v>
      </c>
      <c r="M24" s="30">
        <f t="shared" si="5"/>
        <v>10</v>
      </c>
      <c r="N24" s="43">
        <f t="shared" si="3"/>
        <v>38373</v>
      </c>
      <c r="O24" s="13">
        <v>0.77083333333333337</v>
      </c>
      <c r="P24" s="12">
        <v>16525</v>
      </c>
      <c r="Q24" s="23">
        <f t="shared" si="4"/>
        <v>6</v>
      </c>
    </row>
    <row r="25" spans="1:17" x14ac:dyDescent="0.2">
      <c r="E25" s="14"/>
      <c r="F25" s="38">
        <f t="shared" si="1"/>
        <v>39408</v>
      </c>
      <c r="G25" s="9">
        <v>0.77083333333333337</v>
      </c>
      <c r="H25" s="8">
        <v>16162</v>
      </c>
      <c r="I25" s="75">
        <f t="shared" si="0"/>
        <v>6</v>
      </c>
      <c r="J25" s="41">
        <f t="shared" si="2"/>
        <v>38708</v>
      </c>
      <c r="K25" s="11">
        <v>0.77083333333333337</v>
      </c>
      <c r="L25" s="10">
        <v>16338</v>
      </c>
      <c r="M25" s="30">
        <f t="shared" si="5"/>
        <v>9</v>
      </c>
      <c r="N25" s="43">
        <f t="shared" si="3"/>
        <v>38374</v>
      </c>
      <c r="O25" s="13" t="s">
        <v>25</v>
      </c>
      <c r="P25" s="12">
        <v>16525</v>
      </c>
      <c r="Q25" s="23">
        <f t="shared" si="4"/>
        <v>0</v>
      </c>
    </row>
    <row r="26" spans="1:17" x14ac:dyDescent="0.2">
      <c r="A26" s="1" t="s">
        <v>208</v>
      </c>
      <c r="B26" s="66" t="s">
        <v>8</v>
      </c>
      <c r="C26" s="67" t="s">
        <v>5</v>
      </c>
      <c r="D26" s="67" t="s">
        <v>6</v>
      </c>
      <c r="E26" s="14"/>
      <c r="F26" s="38">
        <f t="shared" si="1"/>
        <v>39409</v>
      </c>
      <c r="G26" s="9">
        <v>0.77083333333333337</v>
      </c>
      <c r="H26" s="8">
        <v>16166</v>
      </c>
      <c r="I26" s="75">
        <f t="shared" si="0"/>
        <v>4</v>
      </c>
      <c r="J26" s="41">
        <f t="shared" si="2"/>
        <v>38709</v>
      </c>
      <c r="K26" s="11">
        <v>0.77083333333333337</v>
      </c>
      <c r="L26" s="10">
        <v>16346</v>
      </c>
      <c r="M26" s="30">
        <f t="shared" si="5"/>
        <v>8</v>
      </c>
      <c r="N26" s="43">
        <f t="shared" si="3"/>
        <v>38375</v>
      </c>
      <c r="O26" s="13" t="s">
        <v>26</v>
      </c>
      <c r="P26" s="12">
        <v>16525</v>
      </c>
      <c r="Q26" s="23">
        <f t="shared" si="4"/>
        <v>0</v>
      </c>
    </row>
    <row r="27" spans="1:17" x14ac:dyDescent="0.2">
      <c r="A27" s="5"/>
      <c r="B27" s="2"/>
      <c r="C27" s="3"/>
      <c r="D27" s="3"/>
      <c r="E27" s="14"/>
      <c r="F27" s="38">
        <f t="shared" si="1"/>
        <v>39410</v>
      </c>
      <c r="G27" s="9">
        <v>0.77083333333333337</v>
      </c>
      <c r="H27" s="8">
        <v>16169</v>
      </c>
      <c r="I27" s="75">
        <f t="shared" si="0"/>
        <v>3</v>
      </c>
      <c r="J27" s="41">
        <f t="shared" si="2"/>
        <v>38710</v>
      </c>
      <c r="K27" s="11">
        <v>0.77083333333333337</v>
      </c>
      <c r="L27" s="10">
        <v>16352</v>
      </c>
      <c r="M27" s="30">
        <f t="shared" si="5"/>
        <v>6</v>
      </c>
      <c r="N27" s="43">
        <f t="shared" si="3"/>
        <v>38376</v>
      </c>
      <c r="O27" s="13">
        <v>0.77083333333333337</v>
      </c>
      <c r="P27" s="12">
        <v>16542</v>
      </c>
      <c r="Q27" s="23">
        <f t="shared" si="4"/>
        <v>17</v>
      </c>
    </row>
    <row r="28" spans="1:17" x14ac:dyDescent="0.2">
      <c r="A28" s="1" t="s">
        <v>0</v>
      </c>
      <c r="B28" s="2">
        <f>SUM("21/04/2011"-D16)</f>
        <v>52</v>
      </c>
      <c r="C28" s="3"/>
      <c r="D28" s="3"/>
      <c r="E28" s="14"/>
      <c r="F28" s="38">
        <f t="shared" si="1"/>
        <v>39411</v>
      </c>
      <c r="G28" s="9">
        <v>0.77083333333333337</v>
      </c>
      <c r="H28" s="8">
        <v>16175</v>
      </c>
      <c r="I28" s="75">
        <f t="shared" si="0"/>
        <v>6</v>
      </c>
      <c r="J28" s="46">
        <f t="shared" si="2"/>
        <v>38711</v>
      </c>
      <c r="K28" s="52" t="s">
        <v>31</v>
      </c>
      <c r="L28" s="10">
        <v>16352</v>
      </c>
      <c r="M28" s="30">
        <f t="shared" si="5"/>
        <v>0</v>
      </c>
      <c r="N28" s="43">
        <f t="shared" si="3"/>
        <v>38377</v>
      </c>
      <c r="O28" s="13">
        <v>0.77083333333333337</v>
      </c>
      <c r="P28" s="12">
        <v>16553</v>
      </c>
      <c r="Q28" s="23">
        <f t="shared" si="4"/>
        <v>11</v>
      </c>
    </row>
    <row r="29" spans="1:17" x14ac:dyDescent="0.2">
      <c r="A29" s="1" t="s">
        <v>85</v>
      </c>
      <c r="B29" s="2">
        <f>(MAX(H4:H33, L4:L34,P4:P34, H38:H71, L38:L73, P38:P72)-B16)*B65</f>
        <v>101.10969</v>
      </c>
      <c r="C29" s="3"/>
      <c r="D29" s="3"/>
      <c r="E29" s="14"/>
      <c r="F29" s="38">
        <f t="shared" si="1"/>
        <v>39412</v>
      </c>
      <c r="G29" s="9">
        <v>0.77083333333333337</v>
      </c>
      <c r="H29" s="8">
        <v>16181</v>
      </c>
      <c r="I29" s="75">
        <f t="shared" si="0"/>
        <v>6</v>
      </c>
      <c r="J29" s="41">
        <f t="shared" si="2"/>
        <v>38712</v>
      </c>
      <c r="K29" s="51" t="s">
        <v>68</v>
      </c>
      <c r="L29" s="10">
        <v>16352</v>
      </c>
      <c r="M29" s="30">
        <f t="shared" si="5"/>
        <v>0</v>
      </c>
      <c r="N29" s="43">
        <f t="shared" si="3"/>
        <v>38378</v>
      </c>
      <c r="O29" s="13">
        <v>0.77083333333333337</v>
      </c>
      <c r="P29" s="12">
        <v>16561</v>
      </c>
      <c r="Q29" s="23">
        <f t="shared" si="4"/>
        <v>8</v>
      </c>
    </row>
    <row r="30" spans="1:17" x14ac:dyDescent="0.2">
      <c r="A30" s="1" t="s">
        <v>87</v>
      </c>
      <c r="B30" s="2">
        <f>B28</f>
        <v>52</v>
      </c>
      <c r="C30" s="3">
        <f>B59/365</f>
        <v>0.13605479452054794</v>
      </c>
      <c r="D30" s="3">
        <f>(B30*C30)</f>
        <v>7.0748493150684935</v>
      </c>
      <c r="E30" s="14"/>
      <c r="F30" s="38">
        <f t="shared" si="1"/>
        <v>39413</v>
      </c>
      <c r="G30" s="9" t="s">
        <v>25</v>
      </c>
      <c r="H30" s="8">
        <v>16181</v>
      </c>
      <c r="I30" s="75">
        <f t="shared" si="0"/>
        <v>0</v>
      </c>
      <c r="J30" s="41">
        <f>J29+1</f>
        <v>38713</v>
      </c>
      <c r="K30" s="11">
        <v>0.77083333333333337</v>
      </c>
      <c r="L30" s="10">
        <v>16358</v>
      </c>
      <c r="M30" s="30">
        <f t="shared" si="5"/>
        <v>6</v>
      </c>
      <c r="N30" s="43">
        <f>N29+1</f>
        <v>38379</v>
      </c>
      <c r="O30" s="13">
        <v>0.77083333333333337</v>
      </c>
      <c r="P30" s="12">
        <v>16569</v>
      </c>
      <c r="Q30" s="23">
        <f t="shared" si="4"/>
        <v>8</v>
      </c>
    </row>
    <row r="31" spans="1:17" x14ac:dyDescent="0.2">
      <c r="A31" s="1" t="s">
        <v>54</v>
      </c>
      <c r="B31" s="2">
        <f>B28</f>
        <v>52</v>
      </c>
      <c r="C31" s="3">
        <f>B60/365</f>
        <v>0.10087671232876712</v>
      </c>
      <c r="D31" s="3">
        <f>(B31*C31)</f>
        <v>5.2455890410958901</v>
      </c>
      <c r="E31" s="14"/>
      <c r="F31" s="38">
        <f t="shared" si="1"/>
        <v>39414</v>
      </c>
      <c r="G31" s="9" t="s">
        <v>26</v>
      </c>
      <c r="H31" s="8">
        <v>16181</v>
      </c>
      <c r="I31" s="75">
        <f t="shared" si="0"/>
        <v>0</v>
      </c>
      <c r="J31" s="41">
        <f>J30+1</f>
        <v>38714</v>
      </c>
      <c r="K31" s="11">
        <v>0.77083333333333337</v>
      </c>
      <c r="L31" s="10">
        <v>16366</v>
      </c>
      <c r="M31" s="30">
        <f t="shared" si="5"/>
        <v>8</v>
      </c>
      <c r="N31" s="43">
        <f>N30+1</f>
        <v>38380</v>
      </c>
      <c r="O31" s="13">
        <v>0.77083333333333337</v>
      </c>
      <c r="P31" s="12">
        <v>16577</v>
      </c>
      <c r="Q31" s="23">
        <f t="shared" si="4"/>
        <v>8</v>
      </c>
    </row>
    <row r="32" spans="1:17" x14ac:dyDescent="0.2">
      <c r="A32" s="1" t="s">
        <v>88</v>
      </c>
      <c r="B32" s="2">
        <f>B28</f>
        <v>52</v>
      </c>
      <c r="C32" s="68">
        <f>B61/365</f>
        <v>-6.8000000000000005E-2</v>
      </c>
      <c r="D32" s="3">
        <f>(B32*C32)</f>
        <v>-3.5360000000000005</v>
      </c>
      <c r="E32" s="14"/>
      <c r="F32" s="38">
        <f t="shared" si="1"/>
        <v>39415</v>
      </c>
      <c r="G32" s="9">
        <v>0.77083333333333337</v>
      </c>
      <c r="H32" s="8">
        <v>16191</v>
      </c>
      <c r="I32" s="75">
        <f t="shared" si="0"/>
        <v>10</v>
      </c>
      <c r="J32" s="41">
        <f>J31+1</f>
        <v>38715</v>
      </c>
      <c r="K32" s="11">
        <v>0.77083333333333337</v>
      </c>
      <c r="L32" s="10">
        <v>16375</v>
      </c>
      <c r="M32" s="30">
        <f t="shared" si="5"/>
        <v>9</v>
      </c>
      <c r="N32" s="43">
        <f>N31+1</f>
        <v>38381</v>
      </c>
      <c r="O32" s="13" t="s">
        <v>25</v>
      </c>
      <c r="P32" s="12">
        <v>16577</v>
      </c>
      <c r="Q32" s="23">
        <f t="shared" si="4"/>
        <v>0</v>
      </c>
    </row>
    <row r="33" spans="1:17" x14ac:dyDescent="0.2">
      <c r="A33" s="1" t="s">
        <v>92</v>
      </c>
      <c r="B33" s="69">
        <f>B28</f>
        <v>52</v>
      </c>
      <c r="C33" s="68">
        <f>B62/365</f>
        <v>0</v>
      </c>
      <c r="D33" s="3">
        <f>(B33*C33)</f>
        <v>0</v>
      </c>
      <c r="E33" s="14"/>
      <c r="F33" s="38">
        <f t="shared" si="1"/>
        <v>39416</v>
      </c>
      <c r="G33" s="9">
        <v>0.77083333333333337</v>
      </c>
      <c r="H33" s="8">
        <v>16199</v>
      </c>
      <c r="I33" s="75">
        <f t="shared" si="0"/>
        <v>8</v>
      </c>
      <c r="J33" s="41">
        <f>J32+1</f>
        <v>38716</v>
      </c>
      <c r="K33" s="11">
        <v>0.77083333333333337</v>
      </c>
      <c r="L33" s="10">
        <v>16375</v>
      </c>
      <c r="M33" s="30">
        <f t="shared" si="5"/>
        <v>0</v>
      </c>
      <c r="N33" s="43">
        <f>N32+1</f>
        <v>38382</v>
      </c>
      <c r="O33" s="13" t="s">
        <v>26</v>
      </c>
      <c r="P33" s="12">
        <v>16577</v>
      </c>
      <c r="Q33" s="23">
        <f t="shared" si="4"/>
        <v>0</v>
      </c>
    </row>
    <row r="34" spans="1:17" x14ac:dyDescent="0.2">
      <c r="A34" s="1" t="s">
        <v>22</v>
      </c>
      <c r="B34" s="2">
        <f>B43</f>
        <v>0</v>
      </c>
      <c r="C34" s="3">
        <v>0</v>
      </c>
      <c r="D34" s="3">
        <f>B34*C34</f>
        <v>0</v>
      </c>
      <c r="E34" s="14"/>
      <c r="F34" s="38"/>
      <c r="G34" s="8"/>
      <c r="H34" s="8"/>
      <c r="I34" s="75" t="str">
        <f t="shared" si="0"/>
        <v/>
      </c>
      <c r="J34" s="41">
        <f>J33+1</f>
        <v>38717</v>
      </c>
      <c r="K34" s="11">
        <v>0.77083333333333337</v>
      </c>
      <c r="L34" s="10">
        <v>16375</v>
      </c>
      <c r="M34" s="30">
        <f t="shared" si="5"/>
        <v>0</v>
      </c>
      <c r="N34" s="43">
        <f>N33+1</f>
        <v>38383</v>
      </c>
      <c r="O34" s="13">
        <v>0.77083333333333337</v>
      </c>
      <c r="P34" s="12">
        <v>16591</v>
      </c>
      <c r="Q34" s="23">
        <f t="shared" si="4"/>
        <v>14</v>
      </c>
    </row>
    <row r="35" spans="1:17" ht="13.5" thickBot="1" x14ac:dyDescent="0.25">
      <c r="A35" s="1" t="s">
        <v>106</v>
      </c>
      <c r="B35" s="69">
        <f>B34</f>
        <v>0</v>
      </c>
      <c r="C35" s="70">
        <f>0.0035+0.001126+0.000313</f>
        <v>4.9389999999999998E-3</v>
      </c>
      <c r="D35" s="3">
        <f>B35*C35</f>
        <v>0</v>
      </c>
      <c r="E35" s="14"/>
      <c r="F35" s="38"/>
      <c r="G35" s="8"/>
      <c r="H35" s="8"/>
      <c r="I35" s="75" t="str">
        <f t="shared" si="0"/>
        <v/>
      </c>
      <c r="J35" s="41"/>
      <c r="K35" s="51"/>
      <c r="L35" s="57"/>
      <c r="M35" s="30" t="str">
        <f t="shared" si="5"/>
        <v/>
      </c>
      <c r="N35" s="43"/>
      <c r="O35" s="12"/>
      <c r="P35" s="12"/>
      <c r="Q35" s="23" t="str">
        <f t="shared" si="4"/>
        <v/>
      </c>
    </row>
    <row r="36" spans="1:17" ht="13.5" thickTop="1" x14ac:dyDescent="0.2">
      <c r="A36" s="1" t="s">
        <v>15</v>
      </c>
      <c r="B36" s="2">
        <f>IF(B14&gt;0,B46,B44)</f>
        <v>101.10969</v>
      </c>
      <c r="C36" s="3">
        <v>6.0227999999999997E-2</v>
      </c>
      <c r="D36" s="3">
        <f>B36*C36</f>
        <v>6.0896344093199994</v>
      </c>
      <c r="E36" s="14"/>
      <c r="F36" s="37" t="s">
        <v>13</v>
      </c>
      <c r="G36" s="19" t="s">
        <v>10</v>
      </c>
      <c r="H36" s="19" t="s">
        <v>9</v>
      </c>
      <c r="I36" s="74" t="s">
        <v>11</v>
      </c>
      <c r="J36" s="45" t="s">
        <v>14</v>
      </c>
      <c r="K36" s="35" t="s">
        <v>10</v>
      </c>
      <c r="L36" s="20" t="s">
        <v>9</v>
      </c>
      <c r="M36" s="50" t="s">
        <v>11</v>
      </c>
      <c r="N36" s="48" t="s">
        <v>21</v>
      </c>
      <c r="O36" s="21" t="s">
        <v>10</v>
      </c>
      <c r="P36" s="21" t="s">
        <v>9</v>
      </c>
      <c r="Q36" s="22" t="s">
        <v>11</v>
      </c>
    </row>
    <row r="37" spans="1:17" x14ac:dyDescent="0.2">
      <c r="A37" s="1" t="s">
        <v>98</v>
      </c>
      <c r="B37" s="69">
        <f>B36</f>
        <v>101.10969</v>
      </c>
      <c r="C37" s="70">
        <f>0.0376+0.0002852+0.000563+0.000313</f>
        <v>3.8761200000000003E-2</v>
      </c>
      <c r="D37" s="3">
        <f>B37*C37</f>
        <v>3.9191329160280004</v>
      </c>
      <c r="E37" s="14"/>
      <c r="F37" s="38"/>
      <c r="G37" s="8"/>
      <c r="H37" s="8"/>
      <c r="I37" s="75"/>
      <c r="J37" s="46"/>
      <c r="K37" s="11"/>
      <c r="L37" s="10"/>
      <c r="M37" s="30"/>
      <c r="N37" s="49"/>
      <c r="O37" s="12"/>
      <c r="P37" s="12"/>
      <c r="Q37" s="23"/>
    </row>
    <row r="38" spans="1:17" x14ac:dyDescent="0.2">
      <c r="A38" s="1" t="s">
        <v>17</v>
      </c>
      <c r="B38" s="2">
        <f>B45</f>
        <v>0</v>
      </c>
      <c r="C38" s="3">
        <v>5.2484999999999997E-2</v>
      </c>
      <c r="D38" s="3">
        <f t="shared" ref="D38:D46" si="6">B38*C38</f>
        <v>0</v>
      </c>
      <c r="E38" s="14"/>
      <c r="F38" s="38">
        <v>38384</v>
      </c>
      <c r="G38" s="9">
        <v>0.77083333333333337</v>
      </c>
      <c r="H38" s="8">
        <v>16600</v>
      </c>
      <c r="I38" s="75">
        <f>H38-P34</f>
        <v>9</v>
      </c>
      <c r="J38" s="46">
        <v>38412</v>
      </c>
      <c r="K38" s="11">
        <v>0.77083333333333337</v>
      </c>
      <c r="L38" s="10">
        <v>16734</v>
      </c>
      <c r="M38" s="30">
        <f>IF(AND(I69&lt;&gt;"",L38&lt;&gt;""),L38-L37,L38-MAX(H38:H69))</f>
        <v>11</v>
      </c>
      <c r="N38" s="43">
        <v>38443</v>
      </c>
      <c r="O38" s="13">
        <v>0.77083333333333337</v>
      </c>
      <c r="P38" s="12">
        <v>16821</v>
      </c>
      <c r="Q38" s="23">
        <f>IF(AND(M69&lt;&gt;"",P38&lt;&gt;""),P38-P37,P38-MAX(L38:L69))</f>
        <v>1</v>
      </c>
    </row>
    <row r="39" spans="1:17" x14ac:dyDescent="0.2">
      <c r="A39" s="1" t="s">
        <v>99</v>
      </c>
      <c r="B39" s="69">
        <f>B38</f>
        <v>0</v>
      </c>
      <c r="C39" s="70">
        <f>0.0217+0.00906+0.000563+0.000313</f>
        <v>3.1636000000000004E-2</v>
      </c>
      <c r="D39" s="3">
        <f t="shared" si="6"/>
        <v>0</v>
      </c>
      <c r="E39" s="14"/>
      <c r="F39" s="38">
        <f>F38+1</f>
        <v>38385</v>
      </c>
      <c r="G39" s="9">
        <v>0.77083333333333337</v>
      </c>
      <c r="H39" s="8">
        <v>16606</v>
      </c>
      <c r="I39" s="75">
        <f t="shared" ref="I39:I62" si="7">IF(AND(I38&lt;&gt;"",H39&lt;&gt;""),H39-H38,"")</f>
        <v>6</v>
      </c>
      <c r="J39" s="41">
        <f>J38+1</f>
        <v>38413</v>
      </c>
      <c r="K39" s="11">
        <v>0.77083333333333337</v>
      </c>
      <c r="L39" s="10">
        <v>16740</v>
      </c>
      <c r="M39" s="30">
        <f t="shared" ref="M39:M69" si="8">IF(AND(M38&lt;&gt;"",L39&lt;&gt;""),L39-L38,"")</f>
        <v>6</v>
      </c>
      <c r="N39" s="43">
        <f>N38+1</f>
        <v>38444</v>
      </c>
      <c r="O39" s="13" t="s">
        <v>25</v>
      </c>
      <c r="P39" s="12">
        <v>16821</v>
      </c>
      <c r="Q39" s="23">
        <f t="shared" ref="Q39:Q67" si="9">IF(AND(Q38&lt;&gt;"",P39&lt;&gt;""),P39-P38,"")</f>
        <v>0</v>
      </c>
    </row>
    <row r="40" spans="1:17" x14ac:dyDescent="0.2">
      <c r="A40" s="1" t="s">
        <v>93</v>
      </c>
      <c r="B40" s="2">
        <f>B43</f>
        <v>0</v>
      </c>
      <c r="C40" s="29">
        <f>B55</f>
        <v>4.3999999999999997E-2</v>
      </c>
      <c r="D40" s="3">
        <f t="shared" si="6"/>
        <v>0</v>
      </c>
      <c r="E40" s="14"/>
      <c r="F40" s="38">
        <f t="shared" ref="F40:F62" si="10">F39+1</f>
        <v>38386</v>
      </c>
      <c r="G40" s="9">
        <v>0.77083333333333337</v>
      </c>
      <c r="H40" s="8">
        <v>16614</v>
      </c>
      <c r="I40" s="75">
        <f t="shared" si="7"/>
        <v>8</v>
      </c>
      <c r="J40" s="41">
        <f t="shared" ref="J40:J62" si="11">J39+1</f>
        <v>38414</v>
      </c>
      <c r="K40" s="11">
        <v>0.77083333333333337</v>
      </c>
      <c r="L40" s="10">
        <v>16747</v>
      </c>
      <c r="M40" s="30">
        <f t="shared" si="8"/>
        <v>7</v>
      </c>
      <c r="N40" s="43">
        <f t="shared" ref="N40:N67" si="12">N39+1</f>
        <v>38445</v>
      </c>
      <c r="O40" s="13" t="s">
        <v>26</v>
      </c>
      <c r="P40" s="12">
        <v>16821</v>
      </c>
      <c r="Q40" s="23">
        <f t="shared" si="9"/>
        <v>0</v>
      </c>
    </row>
    <row r="41" spans="1:17" x14ac:dyDescent="0.2">
      <c r="A41" s="1" t="s">
        <v>94</v>
      </c>
      <c r="B41" s="2">
        <f>B36</f>
        <v>101.10969</v>
      </c>
      <c r="C41" s="3">
        <f>B56</f>
        <v>0.17499999999999999</v>
      </c>
      <c r="D41" s="3">
        <f t="shared" si="6"/>
        <v>17.694195749999999</v>
      </c>
      <c r="E41" s="14"/>
      <c r="F41" s="38">
        <f t="shared" si="10"/>
        <v>38387</v>
      </c>
      <c r="G41" s="9">
        <v>0.77083333333333337</v>
      </c>
      <c r="H41" s="8">
        <v>16622</v>
      </c>
      <c r="I41" s="75">
        <f t="shared" si="7"/>
        <v>8</v>
      </c>
      <c r="J41" s="41">
        <f t="shared" si="11"/>
        <v>38415</v>
      </c>
      <c r="K41" s="11">
        <v>0.77083333333333337</v>
      </c>
      <c r="L41" s="10">
        <v>16753</v>
      </c>
      <c r="M41" s="30">
        <f t="shared" si="8"/>
        <v>6</v>
      </c>
      <c r="N41" s="43">
        <f t="shared" si="12"/>
        <v>38446</v>
      </c>
      <c r="O41" s="13">
        <v>0.77083333333333337</v>
      </c>
      <c r="P41" s="12">
        <v>16822</v>
      </c>
      <c r="Q41" s="23">
        <f t="shared" si="9"/>
        <v>1</v>
      </c>
    </row>
    <row r="42" spans="1:17" x14ac:dyDescent="0.2">
      <c r="A42" s="1" t="s">
        <v>95</v>
      </c>
      <c r="B42" s="2">
        <f>B45</f>
        <v>0</v>
      </c>
      <c r="C42" s="70">
        <f>B57</f>
        <v>0.16600000000000001</v>
      </c>
      <c r="D42" s="3">
        <f t="shared" si="6"/>
        <v>0</v>
      </c>
      <c r="E42" s="14"/>
      <c r="F42" s="38">
        <f t="shared" si="10"/>
        <v>38388</v>
      </c>
      <c r="G42" s="9" t="s">
        <v>25</v>
      </c>
      <c r="H42" s="8">
        <v>16622</v>
      </c>
      <c r="I42" s="75">
        <f t="shared" si="7"/>
        <v>0</v>
      </c>
      <c r="J42" s="41">
        <f t="shared" si="11"/>
        <v>38416</v>
      </c>
      <c r="K42" s="11" t="s">
        <v>25</v>
      </c>
      <c r="L42" s="10">
        <v>16753</v>
      </c>
      <c r="M42" s="30">
        <f t="shared" ref="M42:M48" si="13">IF(AND(M41&lt;&gt;"",L42&lt;&gt;""),L42-L41,"")</f>
        <v>0</v>
      </c>
      <c r="N42" s="43">
        <f t="shared" si="12"/>
        <v>38447</v>
      </c>
      <c r="O42" s="13">
        <v>0.77083333333333337</v>
      </c>
      <c r="P42" s="12">
        <v>16822</v>
      </c>
      <c r="Q42" s="23">
        <f t="shared" si="9"/>
        <v>0</v>
      </c>
    </row>
    <row r="43" spans="1:17" x14ac:dyDescent="0.2">
      <c r="A43" s="1" t="s">
        <v>23</v>
      </c>
      <c r="B43" s="2">
        <f>IF(AND(B14&lt;120,B18=0),B14,B22)</f>
        <v>0</v>
      </c>
      <c r="C43" s="3">
        <f>B51</f>
        <v>0.34817300000000001</v>
      </c>
      <c r="D43" s="3">
        <f t="shared" si="6"/>
        <v>0</v>
      </c>
      <c r="E43" s="14"/>
      <c r="F43" s="38">
        <f t="shared" si="10"/>
        <v>38389</v>
      </c>
      <c r="G43" s="9" t="s">
        <v>26</v>
      </c>
      <c r="H43" s="8">
        <v>16622</v>
      </c>
      <c r="I43" s="75">
        <f t="shared" si="7"/>
        <v>0</v>
      </c>
      <c r="J43" s="41">
        <f t="shared" si="11"/>
        <v>38417</v>
      </c>
      <c r="K43" s="11" t="s">
        <v>26</v>
      </c>
      <c r="L43" s="10">
        <v>16753</v>
      </c>
      <c r="M43" s="30">
        <f t="shared" si="13"/>
        <v>0</v>
      </c>
      <c r="N43" s="43">
        <f t="shared" si="12"/>
        <v>38448</v>
      </c>
      <c r="O43" s="13">
        <v>0.77083333333333337</v>
      </c>
      <c r="P43" s="12">
        <v>16822</v>
      </c>
      <c r="Q43" s="23">
        <f t="shared" si="9"/>
        <v>0</v>
      </c>
    </row>
    <row r="44" spans="1:17" x14ac:dyDescent="0.2">
      <c r="A44" s="1" t="s">
        <v>192</v>
      </c>
      <c r="B44" s="2">
        <f>IF(AND(H4=B16,B13&lt;480,B17&lt;480),B29,B20)</f>
        <v>0</v>
      </c>
      <c r="C44" s="3">
        <f>B52</f>
        <v>0.34817300000000001</v>
      </c>
      <c r="D44" s="3">
        <f t="shared" si="6"/>
        <v>0</v>
      </c>
      <c r="E44" s="14"/>
      <c r="F44" s="38">
        <f t="shared" si="10"/>
        <v>38390</v>
      </c>
      <c r="G44" s="9">
        <v>0.77083333333333337</v>
      </c>
      <c r="H44" s="8">
        <v>16632</v>
      </c>
      <c r="I44" s="75">
        <f t="shared" si="7"/>
        <v>10</v>
      </c>
      <c r="J44" s="41">
        <f t="shared" si="11"/>
        <v>38418</v>
      </c>
      <c r="K44" s="11">
        <v>0.77083333333333337</v>
      </c>
      <c r="L44" s="10">
        <v>16762</v>
      </c>
      <c r="M44" s="30">
        <f t="shared" si="13"/>
        <v>9</v>
      </c>
      <c r="N44" s="43">
        <f t="shared" si="12"/>
        <v>38449</v>
      </c>
      <c r="O44" s="13">
        <v>0.77083333333333337</v>
      </c>
      <c r="P44" s="12">
        <v>16822</v>
      </c>
      <c r="Q44" s="23">
        <f t="shared" si="9"/>
        <v>0</v>
      </c>
    </row>
    <row r="45" spans="1:17" x14ac:dyDescent="0.2">
      <c r="A45" s="1" t="s">
        <v>18</v>
      </c>
      <c r="B45" s="2">
        <f>IF(AND(B14=0,B13&gt;480),INT(B29-B44),B21)</f>
        <v>0</v>
      </c>
      <c r="C45" s="29">
        <f>B53</f>
        <v>0.42366300000000001</v>
      </c>
      <c r="D45" s="3">
        <f t="shared" si="6"/>
        <v>0</v>
      </c>
      <c r="E45" s="14"/>
      <c r="F45" s="38">
        <f t="shared" si="10"/>
        <v>38391</v>
      </c>
      <c r="G45" s="9">
        <v>0.77083333333333337</v>
      </c>
      <c r="H45" s="8">
        <v>16638</v>
      </c>
      <c r="I45" s="75">
        <f t="shared" si="7"/>
        <v>6</v>
      </c>
      <c r="J45" s="41">
        <f t="shared" si="11"/>
        <v>38419</v>
      </c>
      <c r="K45" s="11">
        <v>0.77083333333333337</v>
      </c>
      <c r="L45" s="10">
        <v>16769</v>
      </c>
      <c r="M45" s="30">
        <f t="shared" si="13"/>
        <v>7</v>
      </c>
      <c r="N45" s="43">
        <f t="shared" si="12"/>
        <v>38450</v>
      </c>
      <c r="O45" s="13">
        <v>0.77083333333333337</v>
      </c>
      <c r="P45" s="12">
        <v>16822</v>
      </c>
      <c r="Q45" s="23">
        <f t="shared" si="9"/>
        <v>0</v>
      </c>
    </row>
    <row r="46" spans="1:17" x14ac:dyDescent="0.2">
      <c r="A46" s="1" t="s">
        <v>193</v>
      </c>
      <c r="B46" s="2">
        <f>IF(AND(B43=120,B16=H4),B29-B43-B44-B45,B24)</f>
        <v>101.10969</v>
      </c>
      <c r="C46" s="3">
        <v>0.36146099999999998</v>
      </c>
      <c r="D46" s="3">
        <f t="shared" si="6"/>
        <v>36.547209657090001</v>
      </c>
      <c r="E46" s="14"/>
      <c r="F46" s="38">
        <f t="shared" si="10"/>
        <v>38392</v>
      </c>
      <c r="G46" s="9">
        <v>0.77083333333333337</v>
      </c>
      <c r="H46" s="8">
        <v>16644</v>
      </c>
      <c r="I46" s="75">
        <f t="shared" si="7"/>
        <v>6</v>
      </c>
      <c r="J46" s="41">
        <f t="shared" si="11"/>
        <v>38420</v>
      </c>
      <c r="K46" s="11">
        <v>0.77083333333333337</v>
      </c>
      <c r="L46" s="10">
        <v>16775</v>
      </c>
      <c r="M46" s="30">
        <f t="shared" si="13"/>
        <v>6</v>
      </c>
      <c r="N46" s="43">
        <f t="shared" si="12"/>
        <v>38451</v>
      </c>
      <c r="O46" s="13" t="s">
        <v>25</v>
      </c>
      <c r="P46" s="12">
        <v>16822</v>
      </c>
      <c r="Q46" s="23">
        <f t="shared" si="9"/>
        <v>0</v>
      </c>
    </row>
    <row r="47" spans="1:17" x14ac:dyDescent="0.2">
      <c r="E47" s="14"/>
      <c r="F47" s="38">
        <f t="shared" si="10"/>
        <v>38393</v>
      </c>
      <c r="G47" s="9">
        <v>0.77083333333333337</v>
      </c>
      <c r="H47" s="8">
        <v>16649</v>
      </c>
      <c r="I47" s="75">
        <f t="shared" si="7"/>
        <v>5</v>
      </c>
      <c r="J47" s="41">
        <f t="shared" si="11"/>
        <v>38421</v>
      </c>
      <c r="K47" s="11">
        <v>0.77083333333333337</v>
      </c>
      <c r="L47" s="10">
        <v>16780</v>
      </c>
      <c r="M47" s="30">
        <f t="shared" si="13"/>
        <v>5</v>
      </c>
      <c r="N47" s="43">
        <f t="shared" si="12"/>
        <v>38452</v>
      </c>
      <c r="O47" s="13" t="s">
        <v>26</v>
      </c>
      <c r="P47" s="12">
        <v>16822</v>
      </c>
      <c r="Q47" s="23">
        <f t="shared" si="9"/>
        <v>0</v>
      </c>
    </row>
    <row r="48" spans="1:17" x14ac:dyDescent="0.2">
      <c r="A48" s="1" t="s">
        <v>96</v>
      </c>
      <c r="B48" s="2"/>
      <c r="C48" s="3"/>
      <c r="D48" s="55">
        <f>(SUM(D34:D37)+SUM(D40:D41)+SUM(D43:D44)+D46)*1.1</f>
        <v>70.675190005681813</v>
      </c>
      <c r="E48" s="14"/>
      <c r="F48" s="38">
        <f t="shared" si="10"/>
        <v>38394</v>
      </c>
      <c r="G48" s="9">
        <v>0.77083333333333337</v>
      </c>
      <c r="H48" s="8">
        <v>16654</v>
      </c>
      <c r="I48" s="75">
        <f t="shared" si="7"/>
        <v>5</v>
      </c>
      <c r="J48" s="41">
        <f t="shared" si="11"/>
        <v>38422</v>
      </c>
      <c r="K48" s="11">
        <v>0.77083333333333337</v>
      </c>
      <c r="L48" s="10">
        <v>16784</v>
      </c>
      <c r="M48" s="30">
        <f t="shared" si="13"/>
        <v>4</v>
      </c>
      <c r="N48" s="43">
        <f t="shared" si="12"/>
        <v>38453</v>
      </c>
      <c r="O48" s="13">
        <v>0.77083333333333337</v>
      </c>
      <c r="P48" s="12">
        <v>16822</v>
      </c>
      <c r="Q48" s="23">
        <f t="shared" si="9"/>
        <v>0</v>
      </c>
    </row>
    <row r="49" spans="1:17" x14ac:dyDescent="0.2">
      <c r="A49" s="1" t="s">
        <v>97</v>
      </c>
      <c r="D49" s="55">
        <f>(SUM(D30:D33)+SUM(D38:D39)+D42+D45)*1.2</f>
        <v>10.541326027397259</v>
      </c>
      <c r="E49" s="14"/>
      <c r="F49" s="38">
        <f t="shared" si="10"/>
        <v>38395</v>
      </c>
      <c r="G49" s="9" t="s">
        <v>25</v>
      </c>
      <c r="H49" s="8">
        <v>16654</v>
      </c>
      <c r="I49" s="75">
        <f t="shared" si="7"/>
        <v>0</v>
      </c>
      <c r="J49" s="41">
        <f t="shared" si="11"/>
        <v>38423</v>
      </c>
      <c r="K49" s="11" t="s">
        <v>25</v>
      </c>
      <c r="L49" s="10">
        <v>16784</v>
      </c>
      <c r="M49" s="30">
        <f t="shared" si="8"/>
        <v>0</v>
      </c>
      <c r="N49" s="43">
        <f t="shared" si="12"/>
        <v>38454</v>
      </c>
      <c r="O49" s="13">
        <v>0.77083333333333337</v>
      </c>
      <c r="P49" s="12">
        <v>16822</v>
      </c>
      <c r="Q49" s="23">
        <f t="shared" si="9"/>
        <v>0</v>
      </c>
    </row>
    <row r="50" spans="1:17" x14ac:dyDescent="0.2">
      <c r="A50" s="1"/>
      <c r="B50" s="2"/>
      <c r="C50" s="3"/>
      <c r="D50" s="3"/>
      <c r="E50" s="14"/>
      <c r="F50" s="38">
        <f t="shared" si="10"/>
        <v>38396</v>
      </c>
      <c r="G50" s="9" t="s">
        <v>26</v>
      </c>
      <c r="H50" s="8">
        <v>16654</v>
      </c>
      <c r="I50" s="75">
        <f t="shared" si="7"/>
        <v>0</v>
      </c>
      <c r="J50" s="41">
        <f t="shared" si="11"/>
        <v>38424</v>
      </c>
      <c r="K50" s="11" t="s">
        <v>26</v>
      </c>
      <c r="L50" s="10">
        <v>16784</v>
      </c>
      <c r="M50" s="30">
        <f t="shared" si="8"/>
        <v>0</v>
      </c>
      <c r="N50" s="43">
        <f t="shared" si="12"/>
        <v>38455</v>
      </c>
      <c r="O50" s="13">
        <v>0.77083333333333337</v>
      </c>
      <c r="P50" s="12">
        <v>16822</v>
      </c>
      <c r="Q50" s="23">
        <f t="shared" si="9"/>
        <v>0</v>
      </c>
    </row>
    <row r="51" spans="1:17" x14ac:dyDescent="0.2">
      <c r="A51" s="1" t="s">
        <v>23</v>
      </c>
      <c r="B51" s="26">
        <v>0.34817300000000001</v>
      </c>
      <c r="C51" s="65">
        <v>40544</v>
      </c>
      <c r="D51" s="26"/>
      <c r="E51" s="14"/>
      <c r="F51" s="38">
        <f t="shared" si="10"/>
        <v>38397</v>
      </c>
      <c r="G51" s="9">
        <v>0.77083333333333337</v>
      </c>
      <c r="H51" s="8">
        <v>16663</v>
      </c>
      <c r="I51" s="75">
        <f t="shared" si="7"/>
        <v>9</v>
      </c>
      <c r="J51" s="41">
        <f t="shared" si="11"/>
        <v>38425</v>
      </c>
      <c r="K51" s="11">
        <v>0.77083333333333337</v>
      </c>
      <c r="L51" s="10">
        <v>16791</v>
      </c>
      <c r="M51" s="30">
        <f>IF(AND(M50&lt;&gt;"",L51&lt;&gt;""),L51-L50,"")</f>
        <v>7</v>
      </c>
      <c r="N51" s="43">
        <f t="shared" si="12"/>
        <v>38456</v>
      </c>
      <c r="O51" s="13">
        <v>0.77083333333333337</v>
      </c>
      <c r="P51" s="12">
        <v>16822</v>
      </c>
      <c r="Q51" s="23">
        <f t="shared" si="9"/>
        <v>0</v>
      </c>
    </row>
    <row r="52" spans="1:17" x14ac:dyDescent="0.2">
      <c r="A52" s="1" t="s">
        <v>16</v>
      </c>
      <c r="B52" s="26">
        <v>0.34817300000000001</v>
      </c>
      <c r="C52" s="65">
        <v>40544</v>
      </c>
      <c r="D52" s="3"/>
      <c r="E52" s="14"/>
      <c r="F52" s="38">
        <f t="shared" si="10"/>
        <v>38398</v>
      </c>
      <c r="G52" s="9">
        <v>0.77083333333333337</v>
      </c>
      <c r="H52" s="8">
        <v>16667</v>
      </c>
      <c r="I52" s="75">
        <f t="shared" si="7"/>
        <v>4</v>
      </c>
      <c r="J52" s="41">
        <f t="shared" si="11"/>
        <v>38426</v>
      </c>
      <c r="K52" s="11">
        <v>0.77083333333333337</v>
      </c>
      <c r="L52" s="10">
        <v>16795</v>
      </c>
      <c r="M52" s="30">
        <f t="shared" si="8"/>
        <v>4</v>
      </c>
      <c r="N52" s="43">
        <f t="shared" si="12"/>
        <v>38457</v>
      </c>
      <c r="O52" s="13">
        <v>0.77083333333333337</v>
      </c>
      <c r="P52" s="12">
        <v>16822</v>
      </c>
      <c r="Q52" s="23">
        <f t="shared" si="9"/>
        <v>0</v>
      </c>
    </row>
    <row r="53" spans="1:17" x14ac:dyDescent="0.2">
      <c r="A53" s="1" t="s">
        <v>18</v>
      </c>
      <c r="B53" s="26">
        <v>0.42366300000000001</v>
      </c>
      <c r="C53" s="65">
        <v>40452</v>
      </c>
      <c r="D53" s="3"/>
      <c r="E53" s="14"/>
      <c r="F53" s="38">
        <f t="shared" si="10"/>
        <v>38399</v>
      </c>
      <c r="G53" s="9">
        <v>0.77083333333333337</v>
      </c>
      <c r="H53" s="8">
        <v>16673</v>
      </c>
      <c r="I53" s="75">
        <f t="shared" si="7"/>
        <v>6</v>
      </c>
      <c r="J53" s="41">
        <f t="shared" si="11"/>
        <v>38427</v>
      </c>
      <c r="K53" s="11">
        <v>0.77083333333333337</v>
      </c>
      <c r="L53" s="10">
        <v>16798</v>
      </c>
      <c r="M53" s="30">
        <f t="shared" si="8"/>
        <v>3</v>
      </c>
      <c r="N53" s="43">
        <f t="shared" si="12"/>
        <v>38458</v>
      </c>
      <c r="O53" s="13" t="s">
        <v>25</v>
      </c>
      <c r="P53" s="12">
        <v>16822</v>
      </c>
      <c r="Q53" s="23">
        <f t="shared" si="9"/>
        <v>0</v>
      </c>
    </row>
    <row r="54" spans="1:17" x14ac:dyDescent="0.2">
      <c r="A54" s="1"/>
      <c r="B54" s="2"/>
      <c r="C54" s="3"/>
      <c r="D54" s="3"/>
      <c r="E54" s="14"/>
      <c r="F54" s="38">
        <f t="shared" si="10"/>
        <v>38400</v>
      </c>
      <c r="G54" s="9">
        <v>0.77083333333333337</v>
      </c>
      <c r="H54" s="8">
        <v>16678</v>
      </c>
      <c r="I54" s="75">
        <f t="shared" si="7"/>
        <v>5</v>
      </c>
      <c r="J54" s="41">
        <f t="shared" si="11"/>
        <v>38428</v>
      </c>
      <c r="K54" s="11" t="s">
        <v>210</v>
      </c>
      <c r="L54" s="10">
        <v>16798</v>
      </c>
      <c r="M54" s="30">
        <f t="shared" si="8"/>
        <v>0</v>
      </c>
      <c r="N54" s="43">
        <f t="shared" si="12"/>
        <v>38459</v>
      </c>
      <c r="O54" s="13" t="s">
        <v>26</v>
      </c>
      <c r="P54" s="12">
        <v>16822</v>
      </c>
      <c r="Q54" s="23">
        <f t="shared" si="9"/>
        <v>0</v>
      </c>
    </row>
    <row r="55" spans="1:17" x14ac:dyDescent="0.2">
      <c r="A55" s="1" t="s">
        <v>201</v>
      </c>
      <c r="B55" s="26">
        <v>4.3999999999999997E-2</v>
      </c>
      <c r="C55" s="3"/>
      <c r="D55" s="3"/>
      <c r="E55" s="14"/>
      <c r="F55" s="38">
        <f t="shared" si="10"/>
        <v>38401</v>
      </c>
      <c r="G55" s="9">
        <v>0.77083333333333337</v>
      </c>
      <c r="H55" s="8">
        <v>16683</v>
      </c>
      <c r="I55" s="75">
        <f t="shared" si="7"/>
        <v>5</v>
      </c>
      <c r="J55" s="41">
        <f t="shared" si="11"/>
        <v>38429</v>
      </c>
      <c r="K55" s="11">
        <v>0.77083333333333337</v>
      </c>
      <c r="L55" s="10">
        <v>16801</v>
      </c>
      <c r="M55" s="30">
        <f t="shared" si="8"/>
        <v>3</v>
      </c>
      <c r="N55" s="43">
        <f t="shared" si="12"/>
        <v>38460</v>
      </c>
      <c r="O55" s="13">
        <v>0.77083333333333337</v>
      </c>
      <c r="P55" s="12">
        <v>16822</v>
      </c>
      <c r="Q55" s="23">
        <f t="shared" si="9"/>
        <v>0</v>
      </c>
    </row>
    <row r="56" spans="1:17" x14ac:dyDescent="0.2">
      <c r="A56" s="1" t="s">
        <v>202</v>
      </c>
      <c r="B56" s="26">
        <v>0.17499999999999999</v>
      </c>
      <c r="C56" s="3"/>
      <c r="D56" s="3"/>
      <c r="E56" s="14"/>
      <c r="F56" s="38">
        <f t="shared" si="10"/>
        <v>38402</v>
      </c>
      <c r="G56" s="9" t="s">
        <v>25</v>
      </c>
      <c r="H56" s="8">
        <v>16683</v>
      </c>
      <c r="I56" s="75">
        <f t="shared" si="7"/>
        <v>0</v>
      </c>
      <c r="J56" s="41">
        <f t="shared" si="11"/>
        <v>38430</v>
      </c>
      <c r="K56" s="11" t="s">
        <v>25</v>
      </c>
      <c r="L56" s="10">
        <v>16801</v>
      </c>
      <c r="M56" s="30">
        <f t="shared" si="8"/>
        <v>0</v>
      </c>
      <c r="N56" s="43">
        <f t="shared" si="12"/>
        <v>38461</v>
      </c>
      <c r="O56" s="13">
        <v>0.77083333333333337</v>
      </c>
      <c r="P56" s="12">
        <v>16822</v>
      </c>
      <c r="Q56" s="23">
        <f t="shared" si="9"/>
        <v>0</v>
      </c>
    </row>
    <row r="57" spans="1:17" x14ac:dyDescent="0.2">
      <c r="A57" s="1" t="s">
        <v>203</v>
      </c>
      <c r="B57" s="26">
        <v>0.16600000000000001</v>
      </c>
      <c r="C57" s="3"/>
      <c r="D57" s="3"/>
      <c r="E57" s="14"/>
      <c r="F57" s="38">
        <f t="shared" si="10"/>
        <v>38403</v>
      </c>
      <c r="G57" s="9" t="s">
        <v>26</v>
      </c>
      <c r="H57" s="8">
        <v>16683</v>
      </c>
      <c r="I57" s="75">
        <f t="shared" si="7"/>
        <v>0</v>
      </c>
      <c r="J57" s="41">
        <f t="shared" si="11"/>
        <v>38431</v>
      </c>
      <c r="K57" s="11" t="s">
        <v>26</v>
      </c>
      <c r="L57" s="10">
        <v>16801</v>
      </c>
      <c r="M57" s="30">
        <f t="shared" si="8"/>
        <v>0</v>
      </c>
      <c r="N57" s="43">
        <f t="shared" si="12"/>
        <v>38462</v>
      </c>
      <c r="O57" s="13">
        <v>0.77083333333333337</v>
      </c>
      <c r="P57" s="12"/>
      <c r="Q57" s="23" t="str">
        <f t="shared" si="9"/>
        <v/>
      </c>
    </row>
    <row r="58" spans="1:17" x14ac:dyDescent="0.2">
      <c r="A58" s="1"/>
      <c r="B58" s="2"/>
      <c r="C58" s="3"/>
      <c r="D58" s="3"/>
      <c r="E58" s="14"/>
      <c r="F58" s="38">
        <f t="shared" si="10"/>
        <v>38404</v>
      </c>
      <c r="G58" s="9">
        <v>0.77083333333333337</v>
      </c>
      <c r="H58" s="8">
        <v>16692</v>
      </c>
      <c r="I58" s="75">
        <f t="shared" si="7"/>
        <v>9</v>
      </c>
      <c r="J58" s="41">
        <f t="shared" si="11"/>
        <v>38432</v>
      </c>
      <c r="K58" s="11">
        <v>0.77083333333333337</v>
      </c>
      <c r="L58" s="10">
        <v>16806</v>
      </c>
      <c r="M58" s="30">
        <f t="shared" si="8"/>
        <v>5</v>
      </c>
      <c r="N58" s="43">
        <f t="shared" si="12"/>
        <v>38463</v>
      </c>
      <c r="O58" s="13">
        <v>0.77083333333333337</v>
      </c>
      <c r="P58" s="12"/>
      <c r="Q58" s="23" t="str">
        <f t="shared" si="9"/>
        <v/>
      </c>
    </row>
    <row r="59" spans="1:17" x14ac:dyDescent="0.2">
      <c r="A59" s="1" t="s">
        <v>90</v>
      </c>
      <c r="B59" s="26">
        <v>49.66</v>
      </c>
      <c r="C59" s="3" t="s">
        <v>86</v>
      </c>
      <c r="D59" s="3"/>
      <c r="E59" s="14"/>
      <c r="F59" s="38">
        <f t="shared" si="10"/>
        <v>38405</v>
      </c>
      <c r="G59" s="9">
        <v>0.77083333333333337</v>
      </c>
      <c r="H59" s="8">
        <v>16698</v>
      </c>
      <c r="I59" s="75">
        <f t="shared" si="7"/>
        <v>6</v>
      </c>
      <c r="J59" s="41">
        <f t="shared" si="11"/>
        <v>38433</v>
      </c>
      <c r="K59" s="11">
        <v>0.77083333333333337</v>
      </c>
      <c r="L59" s="10">
        <v>16808</v>
      </c>
      <c r="M59" s="30">
        <f t="shared" si="8"/>
        <v>2</v>
      </c>
      <c r="N59" s="43">
        <f t="shared" si="12"/>
        <v>38464</v>
      </c>
      <c r="O59" s="13">
        <v>0.77083333333333337</v>
      </c>
      <c r="P59" s="12"/>
      <c r="Q59" s="23" t="str">
        <f t="shared" si="9"/>
        <v/>
      </c>
    </row>
    <row r="60" spans="1:17" x14ac:dyDescent="0.2">
      <c r="A60" s="1" t="s">
        <v>54</v>
      </c>
      <c r="B60" s="26">
        <v>36.82</v>
      </c>
      <c r="C60" s="3" t="s">
        <v>86</v>
      </c>
      <c r="D60" s="3"/>
      <c r="E60" s="14"/>
      <c r="F60" s="38">
        <f t="shared" si="10"/>
        <v>38406</v>
      </c>
      <c r="G60" s="9">
        <v>0.77083333333333337</v>
      </c>
      <c r="H60" s="8">
        <v>16704</v>
      </c>
      <c r="I60" s="75">
        <f t="shared" si="7"/>
        <v>6</v>
      </c>
      <c r="J60" s="41">
        <f t="shared" si="11"/>
        <v>38434</v>
      </c>
      <c r="K60" s="11">
        <v>0.77083333333333337</v>
      </c>
      <c r="L60" s="10">
        <v>16810</v>
      </c>
      <c r="M60" s="30">
        <f t="shared" si="8"/>
        <v>2</v>
      </c>
      <c r="N60" s="43">
        <f t="shared" si="12"/>
        <v>38465</v>
      </c>
      <c r="O60" s="13" t="s">
        <v>25</v>
      </c>
      <c r="P60" s="12"/>
      <c r="Q60" s="23" t="str">
        <f t="shared" si="9"/>
        <v/>
      </c>
    </row>
    <row r="61" spans="1:17" x14ac:dyDescent="0.2">
      <c r="A61" s="1" t="s">
        <v>89</v>
      </c>
      <c r="B61" s="26">
        <v>-24.82</v>
      </c>
      <c r="C61" s="3" t="s">
        <v>86</v>
      </c>
      <c r="D61" s="3"/>
      <c r="E61" s="14"/>
      <c r="F61" s="38">
        <f t="shared" si="10"/>
        <v>38407</v>
      </c>
      <c r="G61" s="9">
        <v>0.77083333333333337</v>
      </c>
      <c r="H61" s="8">
        <v>16710</v>
      </c>
      <c r="I61" s="75">
        <f t="shared" si="7"/>
        <v>6</v>
      </c>
      <c r="J61" s="41">
        <f t="shared" si="11"/>
        <v>38435</v>
      </c>
      <c r="K61" s="11">
        <v>0.77083333333333337</v>
      </c>
      <c r="L61" s="10">
        <v>16811</v>
      </c>
      <c r="M61" s="30">
        <f t="shared" si="8"/>
        <v>1</v>
      </c>
      <c r="N61" s="43">
        <f t="shared" si="12"/>
        <v>38466</v>
      </c>
      <c r="O61" s="13" t="s">
        <v>52</v>
      </c>
      <c r="P61" s="12"/>
      <c r="Q61" s="23" t="str">
        <f t="shared" si="9"/>
        <v/>
      </c>
    </row>
    <row r="62" spans="1:17" x14ac:dyDescent="0.2">
      <c r="A62" s="1" t="s">
        <v>91</v>
      </c>
      <c r="B62" s="26">
        <v>0</v>
      </c>
      <c r="C62" s="3" t="s">
        <v>86</v>
      </c>
      <c r="D62" s="3"/>
      <c r="E62" s="14"/>
      <c r="F62" s="38">
        <f t="shared" si="10"/>
        <v>38408</v>
      </c>
      <c r="G62" s="9">
        <v>0.77083333333333337</v>
      </c>
      <c r="H62" s="8">
        <v>16716</v>
      </c>
      <c r="I62" s="75">
        <f t="shared" si="7"/>
        <v>6</v>
      </c>
      <c r="J62" s="41">
        <f t="shared" si="11"/>
        <v>38436</v>
      </c>
      <c r="K62" s="11">
        <v>0.77083333333333337</v>
      </c>
      <c r="L62" s="10">
        <v>16813</v>
      </c>
      <c r="M62" s="30">
        <f t="shared" si="8"/>
        <v>2</v>
      </c>
      <c r="N62" s="43">
        <f t="shared" si="12"/>
        <v>38467</v>
      </c>
      <c r="O62" s="13" t="s">
        <v>35</v>
      </c>
      <c r="P62" s="12"/>
      <c r="Q62" s="23" t="str">
        <f t="shared" si="9"/>
        <v/>
      </c>
    </row>
    <row r="63" spans="1:17" x14ac:dyDescent="0.2">
      <c r="A63" s="1"/>
      <c r="B63" s="2"/>
      <c r="C63" s="3"/>
      <c r="D63" s="3"/>
      <c r="E63" s="14"/>
      <c r="F63" s="38">
        <v>38774</v>
      </c>
      <c r="G63" s="9" t="s">
        <v>25</v>
      </c>
      <c r="H63" s="8">
        <v>16716</v>
      </c>
      <c r="I63" s="75">
        <f>IF(AND(I62&lt;&gt;"",H63&lt;&gt;""),H63-H62,"")</f>
        <v>0</v>
      </c>
      <c r="J63" s="41">
        <v>38802</v>
      </c>
      <c r="K63" s="11" t="s">
        <v>25</v>
      </c>
      <c r="L63" s="10">
        <v>16813</v>
      </c>
      <c r="M63" s="30">
        <f t="shared" si="8"/>
        <v>0</v>
      </c>
      <c r="N63" s="43">
        <f t="shared" si="12"/>
        <v>38468</v>
      </c>
      <c r="O63" s="13">
        <v>0.77083333333333337</v>
      </c>
      <c r="P63" s="12"/>
      <c r="Q63" s="23" t="str">
        <f t="shared" si="9"/>
        <v/>
      </c>
    </row>
    <row r="64" spans="1:17" x14ac:dyDescent="0.2">
      <c r="A64" s="1" t="s">
        <v>100</v>
      </c>
      <c r="B64" s="71">
        <f>SUM(B59:B62)</f>
        <v>61.659999999999989</v>
      </c>
      <c r="C64" s="3" t="s">
        <v>86</v>
      </c>
      <c r="E64" s="14"/>
      <c r="F64" s="38">
        <v>38775</v>
      </c>
      <c r="G64" s="9" t="s">
        <v>26</v>
      </c>
      <c r="H64" s="8">
        <v>16716</v>
      </c>
      <c r="I64" s="75">
        <f>IF(AND(I63&lt;&gt;"",H64&lt;&gt;""),H64-H63,"")</f>
        <v>0</v>
      </c>
      <c r="J64" s="41">
        <v>38803</v>
      </c>
      <c r="K64" s="11" t="s">
        <v>26</v>
      </c>
      <c r="L64" s="10">
        <v>16813</v>
      </c>
      <c r="M64" s="30">
        <f t="shared" si="8"/>
        <v>0</v>
      </c>
      <c r="N64" s="43">
        <f t="shared" si="12"/>
        <v>38469</v>
      </c>
      <c r="O64" s="13">
        <v>0.77083333333333337</v>
      </c>
      <c r="P64" s="12"/>
      <c r="Q64" s="23" t="str">
        <f t="shared" si="9"/>
        <v/>
      </c>
    </row>
    <row r="65" spans="1:17" x14ac:dyDescent="0.2">
      <c r="A65" s="1" t="s">
        <v>194</v>
      </c>
      <c r="B65" s="102">
        <v>1.0213099999999999</v>
      </c>
      <c r="E65" s="14"/>
      <c r="F65" s="109">
        <v>38776</v>
      </c>
      <c r="G65" s="9">
        <v>0.5</v>
      </c>
      <c r="H65" s="107">
        <v>16723</v>
      </c>
      <c r="I65" s="75">
        <f>IF(AND(I64&lt;&gt;"",H65&lt;&gt;""),H65-H64,"")</f>
        <v>7</v>
      </c>
      <c r="J65" s="41">
        <v>38804</v>
      </c>
      <c r="K65" s="11">
        <v>0.77083333333333337</v>
      </c>
      <c r="L65" s="10">
        <v>16816</v>
      </c>
      <c r="M65" s="30">
        <f t="shared" si="8"/>
        <v>3</v>
      </c>
      <c r="N65" s="43">
        <f t="shared" si="12"/>
        <v>38470</v>
      </c>
      <c r="O65" s="13">
        <v>0.77083333333333337</v>
      </c>
      <c r="P65" s="12"/>
      <c r="Q65" s="23" t="str">
        <f t="shared" si="9"/>
        <v/>
      </c>
    </row>
    <row r="66" spans="1:17" x14ac:dyDescent="0.2">
      <c r="E66" s="14"/>
      <c r="F66" s="38"/>
      <c r="G66" s="8"/>
      <c r="H66" s="8"/>
      <c r="I66" s="75" t="str">
        <f>IF(AND(I65&lt;&gt;"",H66&lt;&gt;""),H66-H65,"")</f>
        <v/>
      </c>
      <c r="J66" s="41">
        <v>38805</v>
      </c>
      <c r="K66" s="11">
        <v>0.77083333333333337</v>
      </c>
      <c r="L66" s="10">
        <v>16818</v>
      </c>
      <c r="M66" s="30">
        <f t="shared" si="8"/>
        <v>2</v>
      </c>
      <c r="N66" s="43">
        <f t="shared" si="12"/>
        <v>38471</v>
      </c>
      <c r="O66" s="13">
        <v>0.77083333333333337</v>
      </c>
      <c r="P66" s="12"/>
      <c r="Q66" s="23" t="str">
        <f t="shared" si="9"/>
        <v/>
      </c>
    </row>
    <row r="67" spans="1:17" x14ac:dyDescent="0.2">
      <c r="A67" s="72" t="s">
        <v>24</v>
      </c>
      <c r="B67" s="55">
        <f>B2</f>
        <v>81.216516033079074</v>
      </c>
      <c r="E67" s="14"/>
      <c r="F67" s="38"/>
      <c r="G67" s="8"/>
      <c r="H67" s="8"/>
      <c r="I67" s="75" t="str">
        <f>IF(AND(I61&lt;&gt;"",H67&lt;&gt;""),H67-H61,"")</f>
        <v/>
      </c>
      <c r="J67" s="41">
        <v>38806</v>
      </c>
      <c r="K67" s="11">
        <v>0.77083333333333337</v>
      </c>
      <c r="L67" s="10">
        <v>16819</v>
      </c>
      <c r="M67" s="30">
        <f t="shared" si="8"/>
        <v>1</v>
      </c>
      <c r="N67" s="43">
        <f t="shared" si="12"/>
        <v>38472</v>
      </c>
      <c r="O67" s="13" t="s">
        <v>25</v>
      </c>
      <c r="P67" s="12"/>
      <c r="Q67" s="23" t="str">
        <f t="shared" si="9"/>
        <v/>
      </c>
    </row>
    <row r="68" spans="1:17" x14ac:dyDescent="0.2">
      <c r="A68" s="1"/>
      <c r="B68" s="2"/>
      <c r="C68" s="3"/>
      <c r="D68" s="3"/>
      <c r="E68" s="14"/>
      <c r="F68" s="38"/>
      <c r="G68" s="8"/>
      <c r="H68" s="8"/>
      <c r="I68" s="75" t="str">
        <f>IF(AND(I62&lt;&gt;"",H68&lt;&gt;""),H68-H62,"")</f>
        <v/>
      </c>
      <c r="J68" s="41">
        <v>38807</v>
      </c>
      <c r="K68" s="11">
        <v>0.77083333333333337</v>
      </c>
      <c r="L68" s="10">
        <v>16820</v>
      </c>
      <c r="M68" s="30">
        <f t="shared" si="8"/>
        <v>1</v>
      </c>
      <c r="N68" s="43"/>
      <c r="O68" s="12"/>
      <c r="P68" s="12"/>
      <c r="Q68" s="23" t="str">
        <f>IF(AND(Q62&lt;&gt;"",P68&lt;&gt;""),P68-P62,"")</f>
        <v/>
      </c>
    </row>
    <row r="69" spans="1:17" ht="13.5" thickBot="1" x14ac:dyDescent="0.25">
      <c r="A69" s="1"/>
      <c r="B69" s="2"/>
      <c r="C69" s="3"/>
      <c r="D69" s="3"/>
      <c r="E69" s="14"/>
      <c r="F69" s="39"/>
      <c r="G69" s="25"/>
      <c r="H69" s="16"/>
      <c r="I69" s="77" t="str">
        <f>IF(AND(I68&lt;&gt;"",H69&lt;&gt;""),H69-H68,"")</f>
        <v/>
      </c>
      <c r="J69" s="42"/>
      <c r="K69" s="28"/>
      <c r="L69" s="17"/>
      <c r="M69" s="31" t="str">
        <f t="shared" si="8"/>
        <v/>
      </c>
      <c r="N69" s="44"/>
      <c r="O69" s="18"/>
      <c r="P69" s="18"/>
      <c r="Q69" s="24" t="str">
        <f>IF(AND(Q68&lt;&gt;"",P69&lt;&gt;""),P69-P68,"")</f>
        <v/>
      </c>
    </row>
    <row r="70" spans="1:17" ht="13.5" thickTop="1" x14ac:dyDescent="0.2"/>
  </sheetData>
  <mergeCells count="4">
    <mergeCell ref="C5:D5"/>
    <mergeCell ref="C6:D6"/>
    <mergeCell ref="C7:D7"/>
    <mergeCell ref="C8:D8"/>
  </mergeCells>
  <conditionalFormatting sqref="Q4">
    <cfRule type="cellIs" dxfId="8" priority="1" stopIfTrue="1" operator="lessThan">
      <formula>0</formula>
    </cfRule>
    <cfRule type="cellIs" dxfId="7" priority="5" stopIfTrue="1" operator="lessThan">
      <formula>0</formula>
    </cfRule>
  </conditionalFormatting>
  <conditionalFormatting sqref="M38">
    <cfRule type="cellIs" dxfId="6" priority="4" stopIfTrue="1" operator="lessThan">
      <formula>0</formula>
    </cfRule>
  </conditionalFormatting>
  <conditionalFormatting sqref="I38">
    <cfRule type="cellIs" dxfId="5" priority="3" stopIfTrue="1" operator="lessThan">
      <formula>0</formula>
    </cfRule>
  </conditionalFormatting>
  <conditionalFormatting sqref="Q38">
    <cfRule type="cellIs" dxfId="4" priority="2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workbookViewId="0">
      <selection activeCell="I55" sqref="I55"/>
    </sheetView>
  </sheetViews>
  <sheetFormatPr defaultRowHeight="12.75" x14ac:dyDescent="0.2"/>
  <cols>
    <col min="1" max="1" width="25" customWidth="1"/>
    <col min="2" max="2" width="8.7109375" customWidth="1"/>
    <col min="3" max="3" width="10.42578125" bestFit="1" customWidth="1"/>
    <col min="5" max="5" width="3.7109375" customWidth="1"/>
    <col min="7" max="7" width="6.7109375" customWidth="1"/>
    <col min="8" max="8" width="7.28515625" customWidth="1"/>
    <col min="9" max="9" width="4.7109375" customWidth="1"/>
    <col min="11" max="11" width="6.7109375" customWidth="1"/>
    <col min="12" max="12" width="7.28515625" customWidth="1"/>
    <col min="13" max="13" width="4.7109375" customWidth="1"/>
    <col min="15" max="15" width="6.7109375" customWidth="1"/>
    <col min="16" max="16" width="7.28515625" customWidth="1"/>
    <col min="17" max="17" width="4.7109375" customWidth="1"/>
  </cols>
  <sheetData>
    <row r="1" spans="1:18" ht="13.5" thickBot="1" x14ac:dyDescent="0.25">
      <c r="A1" s="1"/>
      <c r="B1" s="2"/>
      <c r="C1" s="3"/>
      <c r="D1" s="3"/>
      <c r="E1" s="14"/>
      <c r="F1" s="36"/>
      <c r="G1" s="1"/>
      <c r="H1" s="1"/>
      <c r="I1" s="15"/>
      <c r="J1" s="40"/>
      <c r="K1" s="34"/>
      <c r="L1" s="56"/>
      <c r="M1" s="14"/>
      <c r="N1" s="40"/>
      <c r="O1" s="14"/>
      <c r="P1" s="14"/>
      <c r="Q1" s="14"/>
      <c r="R1" s="14"/>
    </row>
    <row r="2" spans="1:18" ht="13.5" thickTop="1" x14ac:dyDescent="0.2">
      <c r="A2" s="1" t="s">
        <v>24</v>
      </c>
      <c r="B2" s="55">
        <f>IF(D41="",D42,D41+D42)</f>
        <v>19.040584093267583</v>
      </c>
      <c r="C2" s="3"/>
      <c r="D2" s="3"/>
      <c r="E2" s="14"/>
      <c r="F2" s="37" t="s">
        <v>19</v>
      </c>
      <c r="G2" s="19" t="s">
        <v>10</v>
      </c>
      <c r="H2" s="19" t="s">
        <v>9</v>
      </c>
      <c r="I2" s="47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  <c r="R2" s="14"/>
    </row>
    <row r="3" spans="1:18" x14ac:dyDescent="0.2">
      <c r="A3" s="1" t="s">
        <v>82</v>
      </c>
      <c r="B3" s="54">
        <v>500</v>
      </c>
      <c r="C3" s="3"/>
      <c r="D3" s="3"/>
      <c r="E3" s="14"/>
      <c r="F3" s="38"/>
      <c r="G3" s="8"/>
      <c r="H3" s="8"/>
      <c r="I3" s="32"/>
      <c r="J3" s="46"/>
      <c r="K3" s="11"/>
      <c r="L3" s="10"/>
      <c r="M3" s="30"/>
      <c r="N3" s="49"/>
      <c r="O3" s="12"/>
      <c r="P3" s="12"/>
      <c r="Q3" s="23"/>
      <c r="R3" s="14"/>
    </row>
    <row r="4" spans="1:18" x14ac:dyDescent="0.2">
      <c r="A4" s="1"/>
      <c r="B4" s="2"/>
      <c r="C4" s="3"/>
      <c r="D4" s="3"/>
      <c r="E4" s="14"/>
      <c r="F4" s="38">
        <v>39387</v>
      </c>
      <c r="G4" s="9">
        <v>0.77083333333333337</v>
      </c>
      <c r="H4" s="8">
        <v>15463</v>
      </c>
      <c r="I4" s="60">
        <f>H4-B14</f>
        <v>0</v>
      </c>
      <c r="J4" s="46">
        <v>38687</v>
      </c>
      <c r="K4" s="11">
        <v>0.77083333333333337</v>
      </c>
      <c r="L4" s="10">
        <v>15538</v>
      </c>
      <c r="M4" s="30">
        <f>IF(AND(I35&lt;&gt;"",L4&lt;&gt;""),L4-L3,L4-MAX(H4:H35))</f>
        <v>4</v>
      </c>
      <c r="N4" s="43">
        <v>38353</v>
      </c>
      <c r="O4" s="13" t="s">
        <v>33</v>
      </c>
      <c r="P4" s="12">
        <v>15693</v>
      </c>
      <c r="Q4" s="23">
        <f>IF(AND(M35&lt;&gt;"",P4&lt;&gt;""),P4-P3,P4-MAX(L4:L34))</f>
        <v>0</v>
      </c>
      <c r="R4" s="14"/>
    </row>
    <row r="5" spans="1:18" x14ac:dyDescent="0.2">
      <c r="A5" s="1" t="s">
        <v>102</v>
      </c>
      <c r="B5" s="26">
        <v>118.06</v>
      </c>
      <c r="C5" s="3"/>
      <c r="D5" s="3"/>
      <c r="E5" s="14"/>
      <c r="F5" s="38">
        <f>F4+1</f>
        <v>39388</v>
      </c>
      <c r="G5" s="9">
        <v>0.77083333333333337</v>
      </c>
      <c r="H5" s="8">
        <v>15484</v>
      </c>
      <c r="I5" s="32">
        <f t="shared" ref="I5:I35" si="0">IF(AND(I4&lt;&gt;"",H5&lt;&gt;""),H5-H4,"")</f>
        <v>21</v>
      </c>
      <c r="J5" s="41">
        <f>J4+1</f>
        <v>38688</v>
      </c>
      <c r="K5" s="11">
        <v>0.77083333333333337</v>
      </c>
      <c r="L5" s="10">
        <v>15541</v>
      </c>
      <c r="M5" s="30">
        <f>IF(AND(M4&lt;&gt;"",L5&lt;&gt;""),L5-L4,"")</f>
        <v>3</v>
      </c>
      <c r="N5" s="43">
        <f>N4+1</f>
        <v>38354</v>
      </c>
      <c r="O5" s="13" t="s">
        <v>25</v>
      </c>
      <c r="P5" s="12">
        <v>15693</v>
      </c>
      <c r="Q5" s="23">
        <f>IF(AND(Q4&lt;&gt;"",P5&lt;&gt;""),P5-P4,"")</f>
        <v>0</v>
      </c>
      <c r="R5" s="14"/>
    </row>
    <row r="6" spans="1:18" x14ac:dyDescent="0.2">
      <c r="A6" s="1" t="s">
        <v>101</v>
      </c>
      <c r="B6" s="26">
        <v>0</v>
      </c>
      <c r="C6" s="3"/>
      <c r="D6" s="3"/>
      <c r="E6" s="14"/>
      <c r="F6" s="38">
        <f t="shared" ref="F6:F33" si="1">F5+1</f>
        <v>39389</v>
      </c>
      <c r="G6" s="9">
        <v>0.77083333333333337</v>
      </c>
      <c r="H6" s="8">
        <v>15488</v>
      </c>
      <c r="I6" s="32">
        <f t="shared" si="0"/>
        <v>4</v>
      </c>
      <c r="J6" s="41">
        <f t="shared" ref="J6:J29" si="2">J5+1</f>
        <v>38689</v>
      </c>
      <c r="K6" s="11">
        <v>0.77083333333333337</v>
      </c>
      <c r="L6" s="10">
        <v>15545</v>
      </c>
      <c r="M6" s="30">
        <f>IF(AND(M5&lt;&gt;"",L6&lt;&gt;""),L6-L5,"")</f>
        <v>4</v>
      </c>
      <c r="N6" s="43">
        <f t="shared" ref="N6:N29" si="3">N5+1</f>
        <v>38355</v>
      </c>
      <c r="O6" s="13" t="s">
        <v>26</v>
      </c>
      <c r="P6" s="12">
        <v>15693</v>
      </c>
      <c r="Q6" s="23">
        <f t="shared" ref="Q6:Q35" si="4">IF(AND(Q5&lt;&gt;"",P6&lt;&gt;""),P6-P5,"")</f>
        <v>0</v>
      </c>
      <c r="R6" s="14"/>
    </row>
    <row r="7" spans="1:18" x14ac:dyDescent="0.2">
      <c r="A7" s="1" t="s">
        <v>105</v>
      </c>
      <c r="B7" s="26">
        <v>311.13</v>
      </c>
      <c r="C7" s="3"/>
      <c r="D7" s="3"/>
      <c r="E7" s="14"/>
      <c r="F7" s="38">
        <f t="shared" si="1"/>
        <v>39390</v>
      </c>
      <c r="G7" s="9">
        <v>0.77083333333333337</v>
      </c>
      <c r="H7" s="8">
        <v>15488</v>
      </c>
      <c r="I7" s="32">
        <f t="shared" si="0"/>
        <v>0</v>
      </c>
      <c r="J7" s="41">
        <f t="shared" si="2"/>
        <v>38690</v>
      </c>
      <c r="K7" s="11">
        <v>0.77083333333333337</v>
      </c>
      <c r="L7" s="10">
        <v>15549</v>
      </c>
      <c r="M7" s="30">
        <f>IF(AND(M6&lt;&gt;"",L7&lt;&gt;""),L7-L6,"")</f>
        <v>4</v>
      </c>
      <c r="N7" s="43">
        <f t="shared" si="3"/>
        <v>38356</v>
      </c>
      <c r="O7" s="13">
        <v>0.77083333333333337</v>
      </c>
      <c r="P7" s="12">
        <v>15708</v>
      </c>
      <c r="Q7" s="23">
        <f t="shared" si="4"/>
        <v>15</v>
      </c>
      <c r="R7" s="14"/>
    </row>
    <row r="8" spans="1:18" x14ac:dyDescent="0.2">
      <c r="A8" s="1" t="s">
        <v>188</v>
      </c>
      <c r="B8" s="26">
        <v>19.04</v>
      </c>
      <c r="C8" s="3"/>
      <c r="D8" s="3"/>
      <c r="E8" s="14"/>
      <c r="F8" s="38">
        <f t="shared" si="1"/>
        <v>39391</v>
      </c>
      <c r="G8" s="9">
        <v>0.77083333333333337</v>
      </c>
      <c r="H8" s="8">
        <v>15489</v>
      </c>
      <c r="I8" s="32">
        <f t="shared" si="0"/>
        <v>1</v>
      </c>
      <c r="J8" s="41">
        <f t="shared" si="2"/>
        <v>38691</v>
      </c>
      <c r="K8" s="11" t="s">
        <v>25</v>
      </c>
      <c r="L8" s="10">
        <v>15549</v>
      </c>
      <c r="M8" s="30">
        <f>IF(AND(M7&lt;&gt;"",L8&lt;&gt;""),L8-L7,"")</f>
        <v>0</v>
      </c>
      <c r="N8" s="43">
        <f t="shared" si="3"/>
        <v>38357</v>
      </c>
      <c r="O8" s="13">
        <v>0.77083333333333337</v>
      </c>
      <c r="P8" s="12">
        <v>15717</v>
      </c>
      <c r="Q8" s="23">
        <f t="shared" si="4"/>
        <v>9</v>
      </c>
      <c r="R8" s="14"/>
    </row>
    <row r="9" spans="1:18" x14ac:dyDescent="0.2">
      <c r="A9" s="1"/>
      <c r="B9" s="26"/>
      <c r="C9" s="3"/>
      <c r="D9" s="3"/>
      <c r="E9" s="14"/>
      <c r="F9" s="38">
        <f t="shared" si="1"/>
        <v>39392</v>
      </c>
      <c r="G9" s="9">
        <v>0.77083333333333337</v>
      </c>
      <c r="H9" s="8">
        <v>15492</v>
      </c>
      <c r="I9" s="32">
        <f t="shared" si="0"/>
        <v>3</v>
      </c>
      <c r="J9" s="41">
        <f t="shared" si="2"/>
        <v>38692</v>
      </c>
      <c r="K9" s="11" t="s">
        <v>26</v>
      </c>
      <c r="L9" s="10">
        <v>15549</v>
      </c>
      <c r="M9" s="30">
        <f>IF(AND(M8&lt;&gt;"",L9&lt;&gt;""),L9-L8,"")</f>
        <v>0</v>
      </c>
      <c r="N9" s="43">
        <f t="shared" si="3"/>
        <v>38358</v>
      </c>
      <c r="O9" s="13" t="s">
        <v>83</v>
      </c>
      <c r="P9" s="12">
        <v>15717</v>
      </c>
      <c r="Q9" s="23">
        <f t="shared" si="4"/>
        <v>0</v>
      </c>
      <c r="R9" s="14"/>
    </row>
    <row r="10" spans="1:18" x14ac:dyDescent="0.2">
      <c r="A10" s="63" t="s">
        <v>79</v>
      </c>
      <c r="B10" s="64">
        <f>SUM(B5:B8)</f>
        <v>448.23</v>
      </c>
      <c r="C10" s="3"/>
      <c r="D10" s="3"/>
      <c r="E10" s="14"/>
      <c r="F10" s="38">
        <f t="shared" si="1"/>
        <v>39393</v>
      </c>
      <c r="G10" s="9" t="s">
        <v>25</v>
      </c>
      <c r="H10" s="8">
        <v>15492</v>
      </c>
      <c r="I10" s="32">
        <f t="shared" si="0"/>
        <v>0</v>
      </c>
      <c r="J10" s="41">
        <f t="shared" si="2"/>
        <v>38693</v>
      </c>
      <c r="K10" s="11">
        <v>0.77083333333333337</v>
      </c>
      <c r="L10" s="10">
        <v>15558</v>
      </c>
      <c r="M10" s="30">
        <f t="shared" ref="M10:M35" si="5">IF(AND(M9&lt;&gt;"",L10&lt;&gt;""),L10-L9,"")</f>
        <v>9</v>
      </c>
      <c r="N10" s="43">
        <f t="shared" si="3"/>
        <v>38359</v>
      </c>
      <c r="O10" s="13">
        <v>0.77083333333333337</v>
      </c>
      <c r="P10" s="12">
        <v>15727</v>
      </c>
      <c r="Q10" s="23">
        <f t="shared" si="4"/>
        <v>10</v>
      </c>
      <c r="R10" s="14"/>
    </row>
    <row r="11" spans="1:18" x14ac:dyDescent="0.2">
      <c r="A11" s="1" t="s">
        <v>80</v>
      </c>
      <c r="B11" s="27">
        <f>(MAX(H3:H33,L4:L34,P4:P34,H38:H65,L38:L68,P38:P67)-MIN(H4,H35))</f>
        <v>651</v>
      </c>
      <c r="C11" s="3"/>
      <c r="D11" s="3"/>
      <c r="E11" s="14"/>
      <c r="F11" s="38">
        <f t="shared" si="1"/>
        <v>39394</v>
      </c>
      <c r="G11" s="9" t="s">
        <v>26</v>
      </c>
      <c r="H11" s="8">
        <v>15492</v>
      </c>
      <c r="I11" s="32">
        <f t="shared" si="0"/>
        <v>0</v>
      </c>
      <c r="J11" s="41">
        <f t="shared" si="2"/>
        <v>38694</v>
      </c>
      <c r="K11" s="11" t="s">
        <v>67</v>
      </c>
      <c r="L11" s="10">
        <v>15558</v>
      </c>
      <c r="M11" s="30">
        <f t="shared" si="5"/>
        <v>0</v>
      </c>
      <c r="N11" s="43">
        <f t="shared" si="3"/>
        <v>38360</v>
      </c>
      <c r="O11" s="13">
        <v>0.77083333333333337</v>
      </c>
      <c r="P11" s="12">
        <v>15734</v>
      </c>
      <c r="Q11" s="23">
        <f t="shared" si="4"/>
        <v>7</v>
      </c>
      <c r="R11" s="14"/>
    </row>
    <row r="12" spans="1:18" x14ac:dyDescent="0.2">
      <c r="A12" s="1" t="s">
        <v>104</v>
      </c>
      <c r="B12" s="2">
        <f>((MAX(P4:P34,H38:H68,L38:L68,P38:P68))-B16)*1.021319</f>
        <v>451.42299800000006</v>
      </c>
      <c r="C12" s="3"/>
      <c r="D12" s="3"/>
      <c r="E12" s="14"/>
      <c r="F12" s="38">
        <f t="shared" si="1"/>
        <v>39395</v>
      </c>
      <c r="G12" s="9">
        <v>0.77083333333333337</v>
      </c>
      <c r="H12" s="8">
        <v>15494</v>
      </c>
      <c r="I12" s="32">
        <f t="shared" si="0"/>
        <v>2</v>
      </c>
      <c r="J12" s="41">
        <f t="shared" si="2"/>
        <v>38695</v>
      </c>
      <c r="K12" s="11">
        <v>0.77083333333333337</v>
      </c>
      <c r="L12" s="10">
        <v>15562</v>
      </c>
      <c r="M12" s="30">
        <f t="shared" si="5"/>
        <v>4</v>
      </c>
      <c r="N12" s="43">
        <f t="shared" si="3"/>
        <v>38361</v>
      </c>
      <c r="O12" s="13" t="s">
        <v>25</v>
      </c>
      <c r="P12" s="12">
        <v>15734</v>
      </c>
      <c r="Q12" s="23">
        <f t="shared" si="4"/>
        <v>0</v>
      </c>
      <c r="R12" s="14"/>
    </row>
    <row r="13" spans="1:18" x14ac:dyDescent="0.2">
      <c r="A13" s="1"/>
      <c r="B13" s="2"/>
      <c r="C13" s="3"/>
      <c r="D13" s="3"/>
      <c r="E13" s="14"/>
      <c r="F13" s="38">
        <f t="shared" si="1"/>
        <v>39396</v>
      </c>
      <c r="G13" s="9">
        <v>0.77083333333333337</v>
      </c>
      <c r="H13" s="8">
        <v>15499</v>
      </c>
      <c r="I13" s="32">
        <f t="shared" si="0"/>
        <v>5</v>
      </c>
      <c r="J13" s="41">
        <f t="shared" si="2"/>
        <v>38696</v>
      </c>
      <c r="K13" s="11">
        <v>0.77083333333333337</v>
      </c>
      <c r="L13" s="10">
        <v>15565</v>
      </c>
      <c r="M13" s="30">
        <f t="shared" si="5"/>
        <v>3</v>
      </c>
      <c r="N13" s="43">
        <f t="shared" si="3"/>
        <v>38362</v>
      </c>
      <c r="O13" s="13" t="s">
        <v>26</v>
      </c>
      <c r="P13" s="12">
        <v>15734</v>
      </c>
      <c r="Q13" s="23">
        <f>IF(AND(Q12&lt;&gt;"",P13&lt;&gt;""),P13-P12,"")</f>
        <v>0</v>
      </c>
      <c r="R13" s="14"/>
    </row>
    <row r="14" spans="1:18" x14ac:dyDescent="0.2">
      <c r="A14" s="1" t="s">
        <v>81</v>
      </c>
      <c r="B14" s="2">
        <v>15463</v>
      </c>
      <c r="C14" s="3"/>
      <c r="D14" s="3"/>
      <c r="E14" s="14"/>
      <c r="F14" s="38">
        <f t="shared" si="1"/>
        <v>39397</v>
      </c>
      <c r="G14" s="9">
        <v>0.77083333333333337</v>
      </c>
      <c r="H14" s="8">
        <v>15501</v>
      </c>
      <c r="I14" s="32">
        <f t="shared" si="0"/>
        <v>2</v>
      </c>
      <c r="J14" s="41">
        <f t="shared" si="2"/>
        <v>38697</v>
      </c>
      <c r="K14" s="11">
        <v>0.77083333333333337</v>
      </c>
      <c r="L14" s="10">
        <v>15570</v>
      </c>
      <c r="M14" s="30">
        <f t="shared" si="5"/>
        <v>5</v>
      </c>
      <c r="N14" s="43">
        <f t="shared" si="3"/>
        <v>38363</v>
      </c>
      <c r="O14" s="13">
        <v>0.77083333333333337</v>
      </c>
      <c r="P14" s="12">
        <v>15746</v>
      </c>
      <c r="Q14" s="23">
        <f t="shared" si="4"/>
        <v>12</v>
      </c>
      <c r="R14" s="14"/>
    </row>
    <row r="15" spans="1:18" x14ac:dyDescent="0.2">
      <c r="A15" s="1" t="s">
        <v>103</v>
      </c>
      <c r="B15" s="2">
        <v>15598</v>
      </c>
      <c r="C15" s="3"/>
      <c r="D15" s="3"/>
      <c r="E15" s="14"/>
      <c r="F15" s="38">
        <f t="shared" si="1"/>
        <v>39398</v>
      </c>
      <c r="G15" s="9">
        <v>0.77083333333333337</v>
      </c>
      <c r="H15" s="8">
        <v>15504</v>
      </c>
      <c r="I15" s="32">
        <f t="shared" si="0"/>
        <v>3</v>
      </c>
      <c r="J15" s="41">
        <f t="shared" si="2"/>
        <v>38698</v>
      </c>
      <c r="K15" s="11" t="s">
        <v>25</v>
      </c>
      <c r="L15" s="10">
        <v>15570</v>
      </c>
      <c r="M15" s="30">
        <f t="shared" si="5"/>
        <v>0</v>
      </c>
      <c r="N15" s="43">
        <f t="shared" si="3"/>
        <v>38364</v>
      </c>
      <c r="O15" s="13">
        <v>0.77083333333333337</v>
      </c>
      <c r="P15" s="12">
        <v>15754</v>
      </c>
      <c r="Q15" s="23">
        <f t="shared" si="4"/>
        <v>8</v>
      </c>
      <c r="R15" s="14"/>
    </row>
    <row r="16" spans="1:18" x14ac:dyDescent="0.2">
      <c r="A16" s="1" t="s">
        <v>190</v>
      </c>
      <c r="B16">
        <v>15672</v>
      </c>
      <c r="C16" s="3"/>
      <c r="D16" s="3"/>
      <c r="E16" s="14"/>
      <c r="F16" s="38">
        <f t="shared" si="1"/>
        <v>39399</v>
      </c>
      <c r="G16" s="9">
        <v>0.77083333333333337</v>
      </c>
      <c r="H16" s="8">
        <v>15506</v>
      </c>
      <c r="I16" s="32">
        <f t="shared" si="0"/>
        <v>2</v>
      </c>
      <c r="J16" s="41">
        <f t="shared" si="2"/>
        <v>38699</v>
      </c>
      <c r="K16" s="11" t="s">
        <v>26</v>
      </c>
      <c r="L16" s="10">
        <v>15570</v>
      </c>
      <c r="M16" s="30">
        <f t="shared" si="5"/>
        <v>0</v>
      </c>
      <c r="N16" s="43">
        <f t="shared" si="3"/>
        <v>38365</v>
      </c>
      <c r="O16" s="13">
        <v>0.77083333333333337</v>
      </c>
      <c r="P16" s="12">
        <v>15761</v>
      </c>
      <c r="Q16" s="23">
        <f t="shared" si="4"/>
        <v>7</v>
      </c>
      <c r="R16" s="14"/>
    </row>
    <row r="17" spans="1:18" x14ac:dyDescent="0.2">
      <c r="A17" s="1" t="s">
        <v>108</v>
      </c>
      <c r="B17" s="2">
        <v>16102</v>
      </c>
      <c r="C17" s="3"/>
      <c r="D17" s="3"/>
      <c r="E17" s="14"/>
      <c r="F17" s="38">
        <f t="shared" si="1"/>
        <v>39400</v>
      </c>
      <c r="G17" s="9" t="s">
        <v>25</v>
      </c>
      <c r="H17" s="8">
        <v>15506</v>
      </c>
      <c r="I17" s="32">
        <f t="shared" si="0"/>
        <v>0</v>
      </c>
      <c r="J17" s="41">
        <f t="shared" si="2"/>
        <v>38700</v>
      </c>
      <c r="K17" s="11">
        <v>0.77083333333333337</v>
      </c>
      <c r="L17" s="10">
        <v>15580</v>
      </c>
      <c r="M17" s="30">
        <f t="shared" si="5"/>
        <v>10</v>
      </c>
      <c r="N17" s="43">
        <f t="shared" si="3"/>
        <v>38366</v>
      </c>
      <c r="O17" s="13">
        <v>0.77083333333333337</v>
      </c>
      <c r="P17" s="12">
        <v>15767</v>
      </c>
      <c r="Q17" s="23">
        <f t="shared" si="4"/>
        <v>6</v>
      </c>
      <c r="R17" s="14"/>
    </row>
    <row r="18" spans="1:18" x14ac:dyDescent="0.2">
      <c r="A18" s="1" t="s">
        <v>107</v>
      </c>
      <c r="B18" s="2">
        <v>16114</v>
      </c>
      <c r="C18" s="3"/>
      <c r="D18" s="3"/>
      <c r="E18" s="14"/>
      <c r="F18" s="38">
        <f t="shared" si="1"/>
        <v>39401</v>
      </c>
      <c r="G18" s="9" t="s">
        <v>26</v>
      </c>
      <c r="H18" s="8">
        <v>15506</v>
      </c>
      <c r="I18" s="32">
        <f t="shared" si="0"/>
        <v>0</v>
      </c>
      <c r="J18" s="41">
        <f t="shared" si="2"/>
        <v>38701</v>
      </c>
      <c r="K18" s="11">
        <v>0.77083333333333337</v>
      </c>
      <c r="L18" s="10">
        <v>15588</v>
      </c>
      <c r="M18" s="30">
        <f t="shared" si="5"/>
        <v>8</v>
      </c>
      <c r="N18" s="43">
        <f t="shared" si="3"/>
        <v>38367</v>
      </c>
      <c r="O18" s="13">
        <v>0.77083333333333337</v>
      </c>
      <c r="P18" s="12">
        <v>15773</v>
      </c>
      <c r="Q18" s="23">
        <f t="shared" si="4"/>
        <v>6</v>
      </c>
      <c r="R18" s="14"/>
    </row>
    <row r="19" spans="1:18" x14ac:dyDescent="0.2">
      <c r="A19" s="1"/>
      <c r="B19" s="2"/>
      <c r="C19" s="3"/>
      <c r="D19" s="3"/>
      <c r="E19" s="14"/>
      <c r="F19" s="38">
        <f t="shared" si="1"/>
        <v>39402</v>
      </c>
      <c r="G19" s="9">
        <v>0.77083333333333337</v>
      </c>
      <c r="H19" s="8">
        <v>15511</v>
      </c>
      <c r="I19" s="32">
        <f t="shared" si="0"/>
        <v>5</v>
      </c>
      <c r="J19" s="41">
        <f t="shared" si="2"/>
        <v>38702</v>
      </c>
      <c r="K19" s="11">
        <v>0.77083333333333337</v>
      </c>
      <c r="L19" s="10">
        <v>15594</v>
      </c>
      <c r="M19" s="30">
        <f t="shared" si="5"/>
        <v>6</v>
      </c>
      <c r="N19" s="43">
        <f t="shared" si="3"/>
        <v>38368</v>
      </c>
      <c r="O19" s="13" t="s">
        <v>25</v>
      </c>
      <c r="P19" s="12">
        <v>15773</v>
      </c>
      <c r="Q19" s="23">
        <f t="shared" si="4"/>
        <v>0</v>
      </c>
      <c r="R19" s="14"/>
    </row>
    <row r="20" spans="1:18" x14ac:dyDescent="0.2">
      <c r="A20" s="1" t="s">
        <v>84</v>
      </c>
      <c r="B20" s="66" t="s">
        <v>8</v>
      </c>
      <c r="C20" s="67" t="s">
        <v>5</v>
      </c>
      <c r="D20" s="67" t="s">
        <v>6</v>
      </c>
      <c r="E20" s="14"/>
      <c r="F20" s="38">
        <f t="shared" si="1"/>
        <v>39403</v>
      </c>
      <c r="G20" s="9">
        <v>0.77083333333333337</v>
      </c>
      <c r="H20" s="8">
        <v>15514</v>
      </c>
      <c r="I20" s="32">
        <f t="shared" si="0"/>
        <v>3</v>
      </c>
      <c r="J20" s="41">
        <f t="shared" si="2"/>
        <v>38703</v>
      </c>
      <c r="K20" s="11">
        <v>0.77083333333333337</v>
      </c>
      <c r="L20" s="10">
        <v>15598</v>
      </c>
      <c r="M20" s="30">
        <f t="shared" si="5"/>
        <v>4</v>
      </c>
      <c r="N20" s="43">
        <f t="shared" si="3"/>
        <v>38369</v>
      </c>
      <c r="O20" s="13" t="s">
        <v>26</v>
      </c>
      <c r="P20" s="12">
        <v>15773</v>
      </c>
      <c r="Q20" s="23">
        <f t="shared" si="4"/>
        <v>0</v>
      </c>
      <c r="R20" s="14"/>
    </row>
    <row r="21" spans="1:18" x14ac:dyDescent="0.2">
      <c r="A21" s="5"/>
      <c r="B21" s="2"/>
      <c r="C21" s="3"/>
      <c r="D21" s="3"/>
      <c r="E21" s="14"/>
      <c r="F21" s="38">
        <f t="shared" si="1"/>
        <v>39404</v>
      </c>
      <c r="G21" s="9">
        <v>0.77083333333333337</v>
      </c>
      <c r="H21" s="8">
        <v>15514</v>
      </c>
      <c r="I21" s="32">
        <f t="shared" si="0"/>
        <v>0</v>
      </c>
      <c r="J21" s="41">
        <f t="shared" si="2"/>
        <v>38704</v>
      </c>
      <c r="K21" s="11">
        <v>0.77083333333333337</v>
      </c>
      <c r="L21" s="10">
        <v>15608</v>
      </c>
      <c r="M21" s="30">
        <f t="shared" si="5"/>
        <v>10</v>
      </c>
      <c r="N21" s="43">
        <f t="shared" si="3"/>
        <v>38370</v>
      </c>
      <c r="O21" s="13">
        <v>0.77083333333333337</v>
      </c>
      <c r="P21" s="12">
        <v>15784</v>
      </c>
      <c r="Q21" s="23">
        <f t="shared" si="4"/>
        <v>11</v>
      </c>
      <c r="R21" s="14"/>
    </row>
    <row r="22" spans="1:18" x14ac:dyDescent="0.2">
      <c r="A22" s="1" t="s">
        <v>0</v>
      </c>
      <c r="B22" s="2">
        <f>SUM("17/5/2010"-"23/3/2010")</f>
        <v>55</v>
      </c>
      <c r="C22" s="3"/>
      <c r="D22" s="3"/>
      <c r="E22" s="14"/>
      <c r="F22" s="38">
        <f t="shared" si="1"/>
        <v>39405</v>
      </c>
      <c r="G22" s="9">
        <v>0.77083333333333337</v>
      </c>
      <c r="H22" s="8">
        <v>15515</v>
      </c>
      <c r="I22" s="32">
        <f t="shared" si="0"/>
        <v>1</v>
      </c>
      <c r="J22" s="41">
        <f t="shared" si="2"/>
        <v>38705</v>
      </c>
      <c r="K22" s="11" t="s">
        <v>25</v>
      </c>
      <c r="L22" s="10">
        <v>15608</v>
      </c>
      <c r="M22" s="30">
        <f t="shared" si="5"/>
        <v>0</v>
      </c>
      <c r="N22" s="43">
        <f t="shared" si="3"/>
        <v>38371</v>
      </c>
      <c r="O22" s="13">
        <v>0.77083333333333337</v>
      </c>
      <c r="P22" s="12">
        <v>15794</v>
      </c>
      <c r="Q22" s="23">
        <f t="shared" si="4"/>
        <v>10</v>
      </c>
      <c r="R22" s="14"/>
    </row>
    <row r="23" spans="1:18" x14ac:dyDescent="0.2">
      <c r="A23" s="1" t="s">
        <v>85</v>
      </c>
      <c r="B23" s="2">
        <f>(MAX(H4:H30, L4:L30,P4:P30, H33:H66, L33:L68, P33:P67)-B17)*1.021319</f>
        <v>12.255828000000001</v>
      </c>
      <c r="C23" s="3"/>
      <c r="D23" s="3"/>
      <c r="E23" s="14"/>
      <c r="F23" s="38">
        <f t="shared" si="1"/>
        <v>39406</v>
      </c>
      <c r="G23" s="9">
        <v>0.77083333333333337</v>
      </c>
      <c r="H23" s="8">
        <v>15516</v>
      </c>
      <c r="I23" s="32">
        <f t="shared" si="0"/>
        <v>1</v>
      </c>
      <c r="J23" s="41">
        <f t="shared" si="2"/>
        <v>38706</v>
      </c>
      <c r="K23" s="11" t="s">
        <v>26</v>
      </c>
      <c r="L23" s="10">
        <v>15608</v>
      </c>
      <c r="M23" s="30">
        <f t="shared" si="5"/>
        <v>0</v>
      </c>
      <c r="N23" s="43">
        <f t="shared" si="3"/>
        <v>38372</v>
      </c>
      <c r="O23" s="13">
        <v>0.77083333333333337</v>
      </c>
      <c r="P23" s="12">
        <v>15802</v>
      </c>
      <c r="Q23" s="23">
        <f t="shared" si="4"/>
        <v>8</v>
      </c>
      <c r="R23" s="14"/>
    </row>
    <row r="24" spans="1:18" x14ac:dyDescent="0.2">
      <c r="A24" s="1" t="s">
        <v>87</v>
      </c>
      <c r="B24" s="2">
        <f>B22</f>
        <v>55</v>
      </c>
      <c r="C24" s="3">
        <f>B52/365</f>
        <v>0.13605479452054794</v>
      </c>
      <c r="D24" s="3">
        <f>(B24*C24)</f>
        <v>7.4830136986301365</v>
      </c>
      <c r="E24" s="14"/>
      <c r="F24" s="38">
        <f t="shared" si="1"/>
        <v>39407</v>
      </c>
      <c r="G24" s="9" t="s">
        <v>25</v>
      </c>
      <c r="H24" s="8">
        <v>15516</v>
      </c>
      <c r="I24" s="32">
        <f t="shared" si="0"/>
        <v>0</v>
      </c>
      <c r="J24" s="41">
        <f t="shared" si="2"/>
        <v>38707</v>
      </c>
      <c r="K24" s="11">
        <v>0.77083333333333337</v>
      </c>
      <c r="L24" s="10">
        <v>15636</v>
      </c>
      <c r="M24" s="30">
        <f t="shared" si="5"/>
        <v>28</v>
      </c>
      <c r="N24" s="43">
        <f t="shared" si="3"/>
        <v>38373</v>
      </c>
      <c r="O24" s="13">
        <v>0.77083333333333337</v>
      </c>
      <c r="P24" s="12">
        <v>15810</v>
      </c>
      <c r="Q24" s="23">
        <f t="shared" si="4"/>
        <v>8</v>
      </c>
      <c r="R24" s="14"/>
    </row>
    <row r="25" spans="1:18" x14ac:dyDescent="0.2">
      <c r="A25" s="1" t="s">
        <v>54</v>
      </c>
      <c r="B25" s="2">
        <f>B22</f>
        <v>55</v>
      </c>
      <c r="C25" s="3">
        <f>B53/365</f>
        <v>0.10087671232876712</v>
      </c>
      <c r="D25" s="3">
        <f>(B25*C25)</f>
        <v>5.5482191780821912</v>
      </c>
      <c r="E25" s="14"/>
      <c r="F25" s="38">
        <f t="shared" si="1"/>
        <v>39408</v>
      </c>
      <c r="G25" s="9" t="s">
        <v>26</v>
      </c>
      <c r="H25" s="8">
        <v>15516</v>
      </c>
      <c r="I25" s="32">
        <f t="shared" si="0"/>
        <v>0</v>
      </c>
      <c r="J25" s="41">
        <f t="shared" si="2"/>
        <v>38708</v>
      </c>
      <c r="K25" s="11">
        <v>0.77083333333333337</v>
      </c>
      <c r="L25" s="10">
        <v>15648</v>
      </c>
      <c r="M25" s="30">
        <f t="shared" si="5"/>
        <v>12</v>
      </c>
      <c r="N25" s="43">
        <f t="shared" si="3"/>
        <v>38374</v>
      </c>
      <c r="O25" s="13">
        <v>0.77083333333333337</v>
      </c>
      <c r="P25" s="12">
        <v>15810</v>
      </c>
      <c r="Q25" s="23">
        <f t="shared" si="4"/>
        <v>0</v>
      </c>
      <c r="R25" s="14"/>
    </row>
    <row r="26" spans="1:18" x14ac:dyDescent="0.2">
      <c r="A26" s="1" t="s">
        <v>88</v>
      </c>
      <c r="B26" s="2">
        <f>B22</f>
        <v>55</v>
      </c>
      <c r="C26" s="68">
        <f>B54/365</f>
        <v>-6.8000000000000005E-2</v>
      </c>
      <c r="D26" s="3">
        <f>(B26*C26)</f>
        <v>-3.74</v>
      </c>
      <c r="E26" s="14"/>
      <c r="F26" s="38">
        <f t="shared" si="1"/>
        <v>39409</v>
      </c>
      <c r="G26" s="9">
        <v>0.77083333333333337</v>
      </c>
      <c r="H26" s="8">
        <v>15520</v>
      </c>
      <c r="I26" s="32">
        <f t="shared" si="0"/>
        <v>4</v>
      </c>
      <c r="J26" s="41">
        <f t="shared" si="2"/>
        <v>38709</v>
      </c>
      <c r="K26" s="11">
        <v>0.77083333333333337</v>
      </c>
      <c r="L26" s="10">
        <v>15656</v>
      </c>
      <c r="M26" s="30">
        <f t="shared" si="5"/>
        <v>8</v>
      </c>
      <c r="N26" s="43">
        <f t="shared" si="3"/>
        <v>38375</v>
      </c>
      <c r="O26" s="13" t="s">
        <v>25</v>
      </c>
      <c r="P26" s="12">
        <v>15810</v>
      </c>
      <c r="Q26" s="23">
        <f t="shared" si="4"/>
        <v>0</v>
      </c>
      <c r="R26" s="14"/>
    </row>
    <row r="27" spans="1:18" x14ac:dyDescent="0.2">
      <c r="A27" s="1" t="s">
        <v>92</v>
      </c>
      <c r="B27" s="69">
        <f>B22</f>
        <v>55</v>
      </c>
      <c r="C27" s="68">
        <f>B55/365</f>
        <v>8.7671232876712331E-4</v>
      </c>
      <c r="D27" s="3">
        <f>(B27*C27)</f>
        <v>4.8219178082191783E-2</v>
      </c>
      <c r="E27" s="14"/>
      <c r="F27" s="38">
        <f t="shared" si="1"/>
        <v>39410</v>
      </c>
      <c r="G27" s="9">
        <v>0.77083333333333337</v>
      </c>
      <c r="H27" s="8">
        <v>15523</v>
      </c>
      <c r="I27" s="32">
        <f t="shared" si="0"/>
        <v>3</v>
      </c>
      <c r="J27" s="41">
        <f t="shared" si="2"/>
        <v>38710</v>
      </c>
      <c r="K27" s="11">
        <v>0.77083333333333337</v>
      </c>
      <c r="L27" s="10">
        <v>15656</v>
      </c>
      <c r="M27" s="30">
        <f t="shared" si="5"/>
        <v>0</v>
      </c>
      <c r="N27" s="43">
        <f t="shared" si="3"/>
        <v>38376</v>
      </c>
      <c r="O27" s="13" t="s">
        <v>26</v>
      </c>
      <c r="P27" s="12">
        <v>15810</v>
      </c>
      <c r="Q27" s="23">
        <f t="shared" si="4"/>
        <v>0</v>
      </c>
      <c r="R27" s="14"/>
    </row>
    <row r="28" spans="1:18" x14ac:dyDescent="0.2">
      <c r="A28" s="1" t="s">
        <v>22</v>
      </c>
      <c r="B28" s="2">
        <f>B37</f>
        <v>0</v>
      </c>
      <c r="C28" s="3">
        <v>0</v>
      </c>
      <c r="D28" s="3">
        <f>B28*C28</f>
        <v>0</v>
      </c>
      <c r="E28" s="14"/>
      <c r="F28" s="38">
        <f t="shared" si="1"/>
        <v>39411</v>
      </c>
      <c r="G28" s="9">
        <v>0.77083333333333337</v>
      </c>
      <c r="H28" s="8">
        <v>15525</v>
      </c>
      <c r="I28" s="32">
        <f t="shared" si="0"/>
        <v>2</v>
      </c>
      <c r="J28" s="46">
        <f t="shared" si="2"/>
        <v>38711</v>
      </c>
      <c r="K28" s="52" t="s">
        <v>31</v>
      </c>
      <c r="L28" s="10">
        <v>15656</v>
      </c>
      <c r="M28" s="30">
        <f t="shared" si="5"/>
        <v>0</v>
      </c>
      <c r="N28" s="43">
        <f t="shared" si="3"/>
        <v>38377</v>
      </c>
      <c r="O28" s="13">
        <v>0.77083333333333337</v>
      </c>
      <c r="P28" s="12">
        <v>15836</v>
      </c>
      <c r="Q28" s="23">
        <f t="shared" si="4"/>
        <v>26</v>
      </c>
      <c r="R28" s="14"/>
    </row>
    <row r="29" spans="1:18" x14ac:dyDescent="0.2">
      <c r="A29" s="1" t="s">
        <v>106</v>
      </c>
      <c r="B29" s="69">
        <f>B28</f>
        <v>0</v>
      </c>
      <c r="C29" s="70">
        <f>0.0035+0.001126+0.000313</f>
        <v>4.9389999999999998E-3</v>
      </c>
      <c r="D29" s="3">
        <f>B29*C29</f>
        <v>0</v>
      </c>
      <c r="E29" s="14"/>
      <c r="F29" s="38">
        <f t="shared" si="1"/>
        <v>39412</v>
      </c>
      <c r="G29" s="9">
        <v>0.77083333333333337</v>
      </c>
      <c r="H29" s="8">
        <v>15527</v>
      </c>
      <c r="I29" s="32">
        <f t="shared" si="0"/>
        <v>2</v>
      </c>
      <c r="J29" s="41">
        <f t="shared" si="2"/>
        <v>38712</v>
      </c>
      <c r="K29" s="51" t="s">
        <v>68</v>
      </c>
      <c r="L29" s="10">
        <v>15656</v>
      </c>
      <c r="M29" s="30">
        <f t="shared" si="5"/>
        <v>0</v>
      </c>
      <c r="N29" s="43">
        <f t="shared" si="3"/>
        <v>38378</v>
      </c>
      <c r="O29" s="13">
        <v>0.77083333333333337</v>
      </c>
      <c r="P29" s="12">
        <v>15846</v>
      </c>
      <c r="Q29" s="23">
        <f t="shared" si="4"/>
        <v>10</v>
      </c>
      <c r="R29" s="14"/>
    </row>
    <row r="30" spans="1:18" x14ac:dyDescent="0.2">
      <c r="A30" s="1" t="s">
        <v>15</v>
      </c>
      <c r="B30" s="2">
        <f>B38</f>
        <v>12.255828000000001</v>
      </c>
      <c r="C30" s="3">
        <v>6.0227999999999997E-2</v>
      </c>
      <c r="D30" s="3">
        <f>B30*C30</f>
        <v>0.73814400878399999</v>
      </c>
      <c r="E30" s="14"/>
      <c r="F30" s="38">
        <f t="shared" si="1"/>
        <v>39413</v>
      </c>
      <c r="G30" s="9">
        <v>0.77083333333333337</v>
      </c>
      <c r="H30" s="8">
        <v>15530</v>
      </c>
      <c r="I30" s="32">
        <f t="shared" si="0"/>
        <v>3</v>
      </c>
      <c r="J30" s="41">
        <f>J29+1</f>
        <v>38713</v>
      </c>
      <c r="K30" s="11" t="s">
        <v>26</v>
      </c>
      <c r="L30" s="10">
        <v>15656</v>
      </c>
      <c r="M30" s="30">
        <f t="shared" si="5"/>
        <v>0</v>
      </c>
      <c r="N30" s="43">
        <f>N29+1</f>
        <v>38379</v>
      </c>
      <c r="O30" s="13">
        <v>0.77083333333333337</v>
      </c>
      <c r="P30" s="12">
        <v>15853</v>
      </c>
      <c r="Q30" s="23">
        <f t="shared" si="4"/>
        <v>7</v>
      </c>
      <c r="R30" s="14"/>
    </row>
    <row r="31" spans="1:18" x14ac:dyDescent="0.2">
      <c r="A31" s="1" t="s">
        <v>98</v>
      </c>
      <c r="B31" s="69">
        <f>B30</f>
        <v>12.255828000000001</v>
      </c>
      <c r="C31" s="70">
        <f>0.0376+0.0002852+0.000563+0.000313</f>
        <v>3.8761200000000003E-2</v>
      </c>
      <c r="D31" s="3">
        <f>B31*C31</f>
        <v>0.47505060027360008</v>
      </c>
      <c r="E31" s="14"/>
      <c r="F31" s="38">
        <f t="shared" si="1"/>
        <v>39414</v>
      </c>
      <c r="G31" s="9" t="s">
        <v>25</v>
      </c>
      <c r="H31" s="8">
        <v>15530</v>
      </c>
      <c r="I31" s="32">
        <f t="shared" si="0"/>
        <v>0</v>
      </c>
      <c r="J31" s="41">
        <f>J30+1</f>
        <v>38714</v>
      </c>
      <c r="K31" s="11">
        <v>0.77083333333333337</v>
      </c>
      <c r="L31" s="59">
        <v>15671</v>
      </c>
      <c r="M31" s="30">
        <f t="shared" si="5"/>
        <v>15</v>
      </c>
      <c r="N31" s="43">
        <f>N30+1</f>
        <v>38380</v>
      </c>
      <c r="O31" s="13">
        <v>0.77083333333333337</v>
      </c>
      <c r="P31" s="12">
        <v>15861</v>
      </c>
      <c r="Q31" s="23">
        <f t="shared" si="4"/>
        <v>8</v>
      </c>
      <c r="R31" s="14"/>
    </row>
    <row r="32" spans="1:18" x14ac:dyDescent="0.2">
      <c r="A32" s="1" t="s">
        <v>17</v>
      </c>
      <c r="B32" s="2">
        <f>B39</f>
        <v>0</v>
      </c>
      <c r="C32" s="3">
        <v>5.2484999999999997E-2</v>
      </c>
      <c r="D32" s="3">
        <f t="shared" ref="D32:D39" si="6">B32*C32</f>
        <v>0</v>
      </c>
      <c r="E32" s="14"/>
      <c r="F32" s="38">
        <f t="shared" si="1"/>
        <v>39415</v>
      </c>
      <c r="G32" s="9" t="s">
        <v>26</v>
      </c>
      <c r="H32" s="8">
        <v>15530</v>
      </c>
      <c r="I32" s="32">
        <f t="shared" si="0"/>
        <v>0</v>
      </c>
      <c r="J32" s="41">
        <f>J31+1</f>
        <v>38715</v>
      </c>
      <c r="K32" s="11">
        <v>0.77083333333333337</v>
      </c>
      <c r="L32" s="59">
        <v>15679</v>
      </c>
      <c r="M32" s="30">
        <f t="shared" si="5"/>
        <v>8</v>
      </c>
      <c r="N32" s="43">
        <f>N31+1</f>
        <v>38381</v>
      </c>
      <c r="O32" s="13">
        <v>0.77083333333333337</v>
      </c>
      <c r="P32" s="12">
        <v>15869</v>
      </c>
      <c r="Q32" s="23">
        <f t="shared" si="4"/>
        <v>8</v>
      </c>
      <c r="R32" s="14"/>
    </row>
    <row r="33" spans="1:18" x14ac:dyDescent="0.2">
      <c r="A33" s="1" t="s">
        <v>99</v>
      </c>
      <c r="B33" s="69">
        <f>B32</f>
        <v>0</v>
      </c>
      <c r="C33" s="70">
        <f>0.0217+0.00906+0.000563+0.000313</f>
        <v>3.1636000000000004E-2</v>
      </c>
      <c r="D33" s="3">
        <f t="shared" si="6"/>
        <v>0</v>
      </c>
      <c r="E33" s="14"/>
      <c r="F33" s="38">
        <f t="shared" si="1"/>
        <v>39416</v>
      </c>
      <c r="G33" s="9">
        <v>0.77083333333333337</v>
      </c>
      <c r="H33" s="8">
        <v>15534</v>
      </c>
      <c r="I33" s="32">
        <f t="shared" si="0"/>
        <v>4</v>
      </c>
      <c r="J33" s="41">
        <f>J32+1</f>
        <v>38716</v>
      </c>
      <c r="K33" s="11">
        <v>0.77083333333333337</v>
      </c>
      <c r="L33" s="59">
        <v>15686</v>
      </c>
      <c r="M33" s="30">
        <f t="shared" si="5"/>
        <v>7</v>
      </c>
      <c r="N33" s="43">
        <f>N32+1</f>
        <v>38382</v>
      </c>
      <c r="O33" s="13" t="s">
        <v>25</v>
      </c>
      <c r="P33" s="12">
        <v>15869</v>
      </c>
      <c r="Q33" s="23">
        <f t="shared" si="4"/>
        <v>0</v>
      </c>
      <c r="R33" s="14"/>
    </row>
    <row r="34" spans="1:18" x14ac:dyDescent="0.2">
      <c r="A34" s="1" t="s">
        <v>93</v>
      </c>
      <c r="B34" s="2">
        <f>B37</f>
        <v>0</v>
      </c>
      <c r="C34" s="29">
        <f>B48</f>
        <v>4.3999999999999997E-2</v>
      </c>
      <c r="D34" s="3">
        <f t="shared" si="6"/>
        <v>0</v>
      </c>
      <c r="E34" s="14"/>
      <c r="F34" s="38"/>
      <c r="G34" s="8"/>
      <c r="H34" s="8"/>
      <c r="I34" s="32" t="str">
        <f t="shared" si="0"/>
        <v/>
      </c>
      <c r="J34" s="41">
        <f>J33+1</f>
        <v>38717</v>
      </c>
      <c r="K34" s="11">
        <v>0.77083333333333337</v>
      </c>
      <c r="L34" s="59">
        <v>15693</v>
      </c>
      <c r="M34" s="30">
        <f t="shared" si="5"/>
        <v>7</v>
      </c>
      <c r="N34" s="43">
        <f>N33+1</f>
        <v>38383</v>
      </c>
      <c r="O34" s="13" t="s">
        <v>26</v>
      </c>
      <c r="P34" s="12">
        <v>15869</v>
      </c>
      <c r="Q34" s="23">
        <f t="shared" si="4"/>
        <v>0</v>
      </c>
      <c r="R34" s="14"/>
    </row>
    <row r="35" spans="1:18" ht="13.5" thickBot="1" x14ac:dyDescent="0.25">
      <c r="A35" s="1" t="s">
        <v>94</v>
      </c>
      <c r="B35" s="2">
        <f>B38</f>
        <v>12.255828000000001</v>
      </c>
      <c r="C35" s="3">
        <f>B49</f>
        <v>0.17499999999999999</v>
      </c>
      <c r="D35" s="3">
        <f t="shared" si="6"/>
        <v>2.1447699</v>
      </c>
      <c r="E35" s="14"/>
      <c r="F35" s="38"/>
      <c r="G35" s="8"/>
      <c r="H35" s="8"/>
      <c r="I35" s="32" t="str">
        <f t="shared" si="0"/>
        <v/>
      </c>
      <c r="J35" s="41"/>
      <c r="K35" s="51"/>
      <c r="L35" s="57"/>
      <c r="M35" s="30" t="str">
        <f t="shared" si="5"/>
        <v/>
      </c>
      <c r="N35" s="43"/>
      <c r="O35" s="12"/>
      <c r="P35" s="12"/>
      <c r="Q35" s="23" t="str">
        <f t="shared" si="4"/>
        <v/>
      </c>
      <c r="R35" s="14"/>
    </row>
    <row r="36" spans="1:18" ht="13.5" thickTop="1" x14ac:dyDescent="0.2">
      <c r="A36" s="1" t="s">
        <v>95</v>
      </c>
      <c r="B36" s="2">
        <f>B39</f>
        <v>0</v>
      </c>
      <c r="C36" s="70">
        <f>B50</f>
        <v>0.16600000000000001</v>
      </c>
      <c r="D36" s="3">
        <f t="shared" si="6"/>
        <v>0</v>
      </c>
      <c r="E36" s="14"/>
      <c r="F36" s="37" t="s">
        <v>13</v>
      </c>
      <c r="G36" s="19" t="s">
        <v>10</v>
      </c>
      <c r="H36" s="19" t="s">
        <v>9</v>
      </c>
      <c r="I36" s="47" t="s">
        <v>11</v>
      </c>
      <c r="J36" s="45" t="s">
        <v>14</v>
      </c>
      <c r="K36" s="35" t="s">
        <v>10</v>
      </c>
      <c r="L36" s="20" t="s">
        <v>9</v>
      </c>
      <c r="M36" s="50" t="s">
        <v>11</v>
      </c>
      <c r="N36" s="48" t="s">
        <v>21</v>
      </c>
      <c r="O36" s="21" t="s">
        <v>10</v>
      </c>
      <c r="P36" s="21" t="s">
        <v>9</v>
      </c>
      <c r="Q36" s="22" t="s">
        <v>11</v>
      </c>
      <c r="R36" s="14"/>
    </row>
    <row r="37" spans="1:18" x14ac:dyDescent="0.2">
      <c r="A37" s="1" t="s">
        <v>23</v>
      </c>
      <c r="B37" s="2">
        <f>IF(B12&lt;120,B23,0)</f>
        <v>0</v>
      </c>
      <c r="C37" s="3">
        <f>B44</f>
        <v>0.30055100000000001</v>
      </c>
      <c r="D37" s="3">
        <f t="shared" si="6"/>
        <v>0</v>
      </c>
      <c r="E37" s="14"/>
      <c r="F37" s="38"/>
      <c r="G37" s="8"/>
      <c r="H37" s="8"/>
      <c r="I37" s="32"/>
      <c r="J37" s="46"/>
      <c r="K37" s="11"/>
      <c r="L37" s="10"/>
      <c r="M37" s="30"/>
      <c r="N37" s="49"/>
      <c r="O37" s="12"/>
      <c r="P37" s="12"/>
      <c r="Q37" s="23"/>
      <c r="R37" s="14"/>
    </row>
    <row r="38" spans="1:18" x14ac:dyDescent="0.2">
      <c r="A38" s="1" t="s">
        <v>16</v>
      </c>
      <c r="B38" s="2">
        <f>IF(B12&gt;120,B23,0)</f>
        <v>12.255828000000001</v>
      </c>
      <c r="C38" s="3">
        <f>B45</f>
        <v>0.30705100000000002</v>
      </c>
      <c r="D38" s="3">
        <f t="shared" si="6"/>
        <v>3.7631642432280006</v>
      </c>
      <c r="E38" s="14"/>
      <c r="F38" s="38">
        <v>38384</v>
      </c>
      <c r="G38" s="9">
        <v>0.77083333333333337</v>
      </c>
      <c r="H38" s="8">
        <v>15881</v>
      </c>
      <c r="I38" s="32">
        <f>H38-P34</f>
        <v>12</v>
      </c>
      <c r="J38" s="46">
        <v>38412</v>
      </c>
      <c r="K38" s="11">
        <v>0.77083333333333337</v>
      </c>
      <c r="L38" s="10">
        <v>16028</v>
      </c>
      <c r="M38" s="30">
        <f>IF(AND(I69&lt;&gt;"",L38&lt;&gt;""),L38-L37,L38-MAX(H38:H69))</f>
        <v>7</v>
      </c>
      <c r="N38" s="43">
        <v>38443</v>
      </c>
      <c r="O38" s="13">
        <v>0.77083333333333337</v>
      </c>
      <c r="P38" s="12">
        <v>16103</v>
      </c>
      <c r="Q38" s="23">
        <f>IF(AND(M69&lt;&gt;"",P38&lt;&gt;""),P38-P37,P38-MAX(L38:L69))</f>
        <v>1</v>
      </c>
      <c r="R38" s="14"/>
    </row>
    <row r="39" spans="1:18" x14ac:dyDescent="0.2">
      <c r="A39" s="1" t="s">
        <v>18</v>
      </c>
      <c r="B39" s="2">
        <v>0</v>
      </c>
      <c r="C39" s="29">
        <f>B46</f>
        <v>0.28117900000000001</v>
      </c>
      <c r="D39" s="3">
        <f t="shared" si="6"/>
        <v>0</v>
      </c>
      <c r="E39" s="14"/>
      <c r="F39" s="38">
        <f>F38+1</f>
        <v>38385</v>
      </c>
      <c r="G39" s="9">
        <v>0.77083333333333337</v>
      </c>
      <c r="H39" s="8">
        <v>15892</v>
      </c>
      <c r="I39" s="32">
        <f t="shared" ref="I39:I62" si="7">IF(AND(I38&lt;&gt;"",H39&lt;&gt;""),H39-H38,"")</f>
        <v>11</v>
      </c>
      <c r="J39" s="41">
        <f>J38+1</f>
        <v>38413</v>
      </c>
      <c r="K39" s="11">
        <v>0.77083333333333337</v>
      </c>
      <c r="L39" s="10">
        <v>16032</v>
      </c>
      <c r="M39" s="30">
        <f t="shared" ref="M39:M69" si="8">IF(AND(M38&lt;&gt;"",L39&lt;&gt;""),L39-L38,"")</f>
        <v>4</v>
      </c>
      <c r="N39" s="43">
        <f>N38+1</f>
        <v>38444</v>
      </c>
      <c r="O39" s="13">
        <v>0.77083333333333337</v>
      </c>
      <c r="P39" s="12">
        <v>16104</v>
      </c>
      <c r="Q39" s="23">
        <f t="shared" ref="Q39:Q67" si="9">IF(AND(Q38&lt;&gt;"",P39&lt;&gt;""),P39-P38,"")</f>
        <v>1</v>
      </c>
      <c r="R39" s="14"/>
    </row>
    <row r="40" spans="1:18" x14ac:dyDescent="0.2">
      <c r="A40" s="1"/>
      <c r="B40" s="2"/>
      <c r="C40" s="3"/>
      <c r="D40" s="3"/>
      <c r="E40" s="14"/>
      <c r="F40" s="38">
        <f t="shared" ref="F40:F62" si="10">F39+1</f>
        <v>38386</v>
      </c>
      <c r="G40" s="9">
        <v>0.77083333333333337</v>
      </c>
      <c r="H40" s="8">
        <v>15899</v>
      </c>
      <c r="I40" s="32">
        <f t="shared" si="7"/>
        <v>7</v>
      </c>
      <c r="J40" s="41">
        <f t="shared" ref="J40:J62" si="11">J39+1</f>
        <v>38414</v>
      </c>
      <c r="K40" s="11">
        <v>0.77083333333333337</v>
      </c>
      <c r="L40" s="10">
        <v>16035</v>
      </c>
      <c r="M40" s="30">
        <f t="shared" si="8"/>
        <v>3</v>
      </c>
      <c r="N40" s="43">
        <f t="shared" ref="N40:N67" si="12">N39+1</f>
        <v>38445</v>
      </c>
      <c r="O40" s="13" t="s">
        <v>25</v>
      </c>
      <c r="P40" s="12">
        <v>16104</v>
      </c>
      <c r="Q40" s="23">
        <f t="shared" si="9"/>
        <v>0</v>
      </c>
      <c r="R40" s="14"/>
    </row>
    <row r="41" spans="1:18" x14ac:dyDescent="0.2">
      <c r="A41" s="1" t="s">
        <v>96</v>
      </c>
      <c r="B41" s="2"/>
      <c r="C41" s="3"/>
      <c r="D41" s="55">
        <f>(SUM(D28:D31)+SUM(D34:D35)+SUM(D37:D38))*1.1</f>
        <v>7.8332416275141616</v>
      </c>
      <c r="E41" s="14"/>
      <c r="F41" s="38">
        <f t="shared" si="10"/>
        <v>38387</v>
      </c>
      <c r="G41" s="9">
        <v>0.77083333333333337</v>
      </c>
      <c r="H41" s="8">
        <v>15906</v>
      </c>
      <c r="I41" s="32">
        <f t="shared" si="7"/>
        <v>7</v>
      </c>
      <c r="J41" s="41">
        <f t="shared" si="11"/>
        <v>38415</v>
      </c>
      <c r="K41" s="11">
        <v>0.77083333333333337</v>
      </c>
      <c r="L41" s="10">
        <v>16039</v>
      </c>
      <c r="M41" s="30">
        <f t="shared" si="8"/>
        <v>4</v>
      </c>
      <c r="N41" s="43">
        <f t="shared" si="12"/>
        <v>38446</v>
      </c>
      <c r="O41" s="13" t="s">
        <v>52</v>
      </c>
      <c r="P41" s="12">
        <v>16104</v>
      </c>
      <c r="Q41" s="23">
        <f t="shared" si="9"/>
        <v>0</v>
      </c>
      <c r="R41" s="14"/>
    </row>
    <row r="42" spans="1:18" x14ac:dyDescent="0.2">
      <c r="A42" s="1" t="s">
        <v>97</v>
      </c>
      <c r="D42" s="55">
        <f>(SUM(D24:D27)+SUM(D32:D33)+D36+D39)*1.2</f>
        <v>11.207342465753422</v>
      </c>
      <c r="E42" s="14"/>
      <c r="F42" s="38">
        <f t="shared" si="10"/>
        <v>38388</v>
      </c>
      <c r="G42" s="9">
        <v>0.77083333333333337</v>
      </c>
      <c r="H42" s="8">
        <v>15914</v>
      </c>
      <c r="I42" s="32">
        <f t="shared" si="7"/>
        <v>8</v>
      </c>
      <c r="J42" s="41">
        <f t="shared" si="11"/>
        <v>38416</v>
      </c>
      <c r="K42" s="11">
        <v>0.77083333333333337</v>
      </c>
      <c r="L42" s="10">
        <v>16043</v>
      </c>
      <c r="M42" s="30">
        <f t="shared" si="8"/>
        <v>4</v>
      </c>
      <c r="N42" s="43">
        <f t="shared" si="12"/>
        <v>38447</v>
      </c>
      <c r="O42" s="13" t="s">
        <v>72</v>
      </c>
      <c r="P42" s="12">
        <v>16104</v>
      </c>
      <c r="Q42" s="23">
        <f t="shared" si="9"/>
        <v>0</v>
      </c>
      <c r="R42" s="14"/>
    </row>
    <row r="43" spans="1:18" x14ac:dyDescent="0.2">
      <c r="A43" s="1"/>
      <c r="B43" s="2"/>
      <c r="C43" s="3"/>
      <c r="D43" s="3"/>
      <c r="E43" s="14"/>
      <c r="F43" s="38">
        <f t="shared" si="10"/>
        <v>38389</v>
      </c>
      <c r="G43" s="9" t="s">
        <v>25</v>
      </c>
      <c r="H43" s="8">
        <v>15914</v>
      </c>
      <c r="I43" s="32">
        <f t="shared" si="7"/>
        <v>0</v>
      </c>
      <c r="J43" s="41">
        <f t="shared" si="11"/>
        <v>38417</v>
      </c>
      <c r="K43" s="11" t="s">
        <v>25</v>
      </c>
      <c r="L43" s="10">
        <v>16043</v>
      </c>
      <c r="M43" s="30">
        <f t="shared" si="8"/>
        <v>0</v>
      </c>
      <c r="N43" s="43">
        <f t="shared" si="12"/>
        <v>38448</v>
      </c>
      <c r="O43" s="13">
        <v>0.77083333333333337</v>
      </c>
      <c r="P43" s="12">
        <v>16110</v>
      </c>
      <c r="Q43" s="23">
        <f t="shared" si="9"/>
        <v>6</v>
      </c>
      <c r="R43" s="14"/>
    </row>
    <row r="44" spans="1:18" x14ac:dyDescent="0.2">
      <c r="A44" s="1" t="s">
        <v>23</v>
      </c>
      <c r="B44" s="26">
        <v>0.30055100000000001</v>
      </c>
      <c r="C44" s="65">
        <v>40179</v>
      </c>
      <c r="D44" s="26"/>
      <c r="E44" s="14"/>
      <c r="F44" s="38">
        <f t="shared" si="10"/>
        <v>38390</v>
      </c>
      <c r="G44" s="9" t="s">
        <v>26</v>
      </c>
      <c r="H44" s="8">
        <v>15914</v>
      </c>
      <c r="I44" s="32">
        <f t="shared" si="7"/>
        <v>0</v>
      </c>
      <c r="J44" s="41">
        <f t="shared" si="11"/>
        <v>38418</v>
      </c>
      <c r="K44" s="11" t="s">
        <v>26</v>
      </c>
      <c r="L44" s="10">
        <v>16043</v>
      </c>
      <c r="M44" s="30">
        <f t="shared" si="8"/>
        <v>0</v>
      </c>
      <c r="N44" s="43">
        <f t="shared" si="12"/>
        <v>38449</v>
      </c>
      <c r="O44" s="13">
        <v>0.77083333333333337</v>
      </c>
      <c r="P44" s="12">
        <v>16111</v>
      </c>
      <c r="Q44" s="23">
        <f t="shared" si="9"/>
        <v>1</v>
      </c>
      <c r="R44" s="14"/>
    </row>
    <row r="45" spans="1:18" x14ac:dyDescent="0.2">
      <c r="A45" s="1" t="s">
        <v>16</v>
      </c>
      <c r="B45" s="26">
        <v>0.30705100000000002</v>
      </c>
      <c r="C45" s="65">
        <v>40269</v>
      </c>
      <c r="D45" s="3"/>
      <c r="E45" s="14"/>
      <c r="F45" s="38">
        <f t="shared" si="10"/>
        <v>38391</v>
      </c>
      <c r="G45" s="9">
        <v>0.77083333333333337</v>
      </c>
      <c r="H45" s="8">
        <v>15929</v>
      </c>
      <c r="I45" s="32">
        <f t="shared" si="7"/>
        <v>15</v>
      </c>
      <c r="J45" s="41">
        <f t="shared" si="11"/>
        <v>38419</v>
      </c>
      <c r="K45" s="11">
        <v>0.77083333333333337</v>
      </c>
      <c r="L45" s="10">
        <v>16053</v>
      </c>
      <c r="M45" s="30">
        <f t="shared" si="8"/>
        <v>10</v>
      </c>
      <c r="N45" s="43">
        <f t="shared" si="12"/>
        <v>38450</v>
      </c>
      <c r="O45" s="13">
        <v>0.77083333333333337</v>
      </c>
      <c r="P45" s="12">
        <v>16112</v>
      </c>
      <c r="Q45" s="23">
        <f t="shared" si="9"/>
        <v>1</v>
      </c>
      <c r="R45" s="14"/>
    </row>
    <row r="46" spans="1:18" x14ac:dyDescent="0.2">
      <c r="A46" s="1" t="s">
        <v>18</v>
      </c>
      <c r="B46" s="26">
        <v>0.28117900000000001</v>
      </c>
      <c r="C46" s="65">
        <v>40179</v>
      </c>
      <c r="D46" s="3"/>
      <c r="E46" s="14"/>
      <c r="F46" s="38">
        <f t="shared" si="10"/>
        <v>38392</v>
      </c>
      <c r="G46" s="9">
        <v>0.77083333333333337</v>
      </c>
      <c r="H46" s="8">
        <v>15937</v>
      </c>
      <c r="I46" s="32">
        <f t="shared" si="7"/>
        <v>8</v>
      </c>
      <c r="J46" s="41">
        <f t="shared" si="11"/>
        <v>38420</v>
      </c>
      <c r="K46" s="11">
        <v>0.77083333333333337</v>
      </c>
      <c r="L46" s="10">
        <v>16061</v>
      </c>
      <c r="M46" s="30">
        <f t="shared" si="8"/>
        <v>8</v>
      </c>
      <c r="N46" s="43">
        <f t="shared" si="12"/>
        <v>38451</v>
      </c>
      <c r="O46" s="13">
        <v>0.77083333333333337</v>
      </c>
      <c r="P46" s="12">
        <v>16112</v>
      </c>
      <c r="Q46" s="23">
        <f t="shared" si="9"/>
        <v>0</v>
      </c>
      <c r="R46" s="14"/>
    </row>
    <row r="47" spans="1:18" x14ac:dyDescent="0.2">
      <c r="A47" s="1"/>
      <c r="B47" s="2"/>
      <c r="C47" s="3"/>
      <c r="D47" s="3"/>
      <c r="E47" s="14"/>
      <c r="F47" s="38">
        <f t="shared" si="10"/>
        <v>38393</v>
      </c>
      <c r="G47" s="9">
        <v>0.77083333333333337</v>
      </c>
      <c r="H47" s="8">
        <v>15945</v>
      </c>
      <c r="I47" s="32">
        <f t="shared" si="7"/>
        <v>8</v>
      </c>
      <c r="J47" s="41">
        <f t="shared" si="11"/>
        <v>38421</v>
      </c>
      <c r="K47" s="11">
        <v>0.77083333333333337</v>
      </c>
      <c r="L47" s="10">
        <v>16069</v>
      </c>
      <c r="M47" s="30">
        <f t="shared" si="8"/>
        <v>8</v>
      </c>
      <c r="N47" s="43">
        <f t="shared" si="12"/>
        <v>38452</v>
      </c>
      <c r="O47" s="13" t="s">
        <v>25</v>
      </c>
      <c r="P47" s="12">
        <v>16112</v>
      </c>
      <c r="Q47" s="23">
        <f t="shared" si="9"/>
        <v>0</v>
      </c>
      <c r="R47" s="14"/>
    </row>
    <row r="48" spans="1:18" x14ac:dyDescent="0.2">
      <c r="A48" s="1" t="s">
        <v>75</v>
      </c>
      <c r="B48" s="26">
        <v>4.3999999999999997E-2</v>
      </c>
      <c r="C48" s="3"/>
      <c r="D48" s="3"/>
      <c r="E48" s="14"/>
      <c r="F48" s="38">
        <f t="shared" si="10"/>
        <v>38394</v>
      </c>
      <c r="G48" s="9">
        <v>0.77083333333333337</v>
      </c>
      <c r="H48" s="8">
        <v>15952</v>
      </c>
      <c r="I48" s="32">
        <f t="shared" si="7"/>
        <v>7</v>
      </c>
      <c r="J48" s="41">
        <f t="shared" si="11"/>
        <v>38422</v>
      </c>
      <c r="K48" s="11">
        <v>0.77083333333333337</v>
      </c>
      <c r="L48" s="10">
        <v>16076</v>
      </c>
      <c r="M48" s="30">
        <f t="shared" si="8"/>
        <v>7</v>
      </c>
      <c r="N48" s="43">
        <f t="shared" si="12"/>
        <v>38453</v>
      </c>
      <c r="O48" s="13" t="s">
        <v>26</v>
      </c>
      <c r="P48" s="12">
        <v>16112</v>
      </c>
      <c r="Q48" s="23">
        <f t="shared" si="9"/>
        <v>0</v>
      </c>
      <c r="R48" s="14"/>
    </row>
    <row r="49" spans="1:18" x14ac:dyDescent="0.2">
      <c r="A49" s="1" t="s">
        <v>55</v>
      </c>
      <c r="B49" s="26">
        <v>0.17499999999999999</v>
      </c>
      <c r="C49" s="3"/>
      <c r="D49" s="3"/>
      <c r="E49" s="14"/>
      <c r="F49" s="38">
        <f t="shared" si="10"/>
        <v>38395</v>
      </c>
      <c r="G49" s="9">
        <v>0.77083333333333337</v>
      </c>
      <c r="H49" s="8">
        <v>15958</v>
      </c>
      <c r="I49" s="32">
        <f t="shared" si="7"/>
        <v>6</v>
      </c>
      <c r="J49" s="41">
        <f t="shared" si="11"/>
        <v>38423</v>
      </c>
      <c r="K49" s="11">
        <v>0.77083333333333337</v>
      </c>
      <c r="L49" s="10">
        <v>16082</v>
      </c>
      <c r="M49" s="30">
        <f t="shared" si="8"/>
        <v>6</v>
      </c>
      <c r="N49" s="43">
        <f t="shared" si="12"/>
        <v>38454</v>
      </c>
      <c r="O49" s="13">
        <v>0.77083333333333337</v>
      </c>
      <c r="P49" s="12">
        <v>16112</v>
      </c>
      <c r="Q49" s="23">
        <f t="shared" si="9"/>
        <v>0</v>
      </c>
      <c r="R49" s="14"/>
    </row>
    <row r="50" spans="1:18" x14ac:dyDescent="0.2">
      <c r="A50" s="1" t="s">
        <v>76</v>
      </c>
      <c r="B50" s="26">
        <v>0.16600000000000001</v>
      </c>
      <c r="C50" s="3"/>
      <c r="D50" s="3"/>
      <c r="E50" s="14"/>
      <c r="F50" s="38">
        <f t="shared" si="10"/>
        <v>38396</v>
      </c>
      <c r="G50" s="9" t="s">
        <v>25</v>
      </c>
      <c r="H50" s="8">
        <v>15958</v>
      </c>
      <c r="I50" s="32">
        <f t="shared" si="7"/>
        <v>0</v>
      </c>
      <c r="J50" s="41">
        <f t="shared" si="11"/>
        <v>38424</v>
      </c>
      <c r="K50" s="11" t="s">
        <v>25</v>
      </c>
      <c r="L50" s="10">
        <v>16082</v>
      </c>
      <c r="M50" s="30">
        <f t="shared" si="8"/>
        <v>0</v>
      </c>
      <c r="N50" s="43">
        <f t="shared" si="12"/>
        <v>38455</v>
      </c>
      <c r="O50" s="13">
        <v>0.77083333333333337</v>
      </c>
      <c r="P50" s="12">
        <v>16112</v>
      </c>
      <c r="Q50" s="23">
        <f t="shared" si="9"/>
        <v>0</v>
      </c>
      <c r="R50" s="14"/>
    </row>
    <row r="51" spans="1:18" x14ac:dyDescent="0.2">
      <c r="A51" s="1"/>
      <c r="B51" s="2"/>
      <c r="C51" s="3"/>
      <c r="D51" s="3"/>
      <c r="E51" s="14"/>
      <c r="F51" s="38">
        <f t="shared" si="10"/>
        <v>38397</v>
      </c>
      <c r="G51" s="9" t="s">
        <v>26</v>
      </c>
      <c r="H51" s="8">
        <v>15958</v>
      </c>
      <c r="I51" s="32">
        <f t="shared" si="7"/>
        <v>0</v>
      </c>
      <c r="J51" s="41">
        <f t="shared" si="11"/>
        <v>38425</v>
      </c>
      <c r="K51" s="11" t="s">
        <v>26</v>
      </c>
      <c r="L51" s="10">
        <v>16082</v>
      </c>
      <c r="M51" s="30">
        <f t="shared" si="8"/>
        <v>0</v>
      </c>
      <c r="N51" s="43">
        <f t="shared" si="12"/>
        <v>38456</v>
      </c>
      <c r="O51" s="13">
        <v>0.77083333333333337</v>
      </c>
      <c r="P51" s="12">
        <v>16113</v>
      </c>
      <c r="Q51" s="23">
        <f t="shared" si="9"/>
        <v>1</v>
      </c>
      <c r="R51" s="14"/>
    </row>
    <row r="52" spans="1:18" x14ac:dyDescent="0.2">
      <c r="A52" s="1" t="s">
        <v>90</v>
      </c>
      <c r="B52" s="26">
        <v>49.66</v>
      </c>
      <c r="C52" s="3" t="s">
        <v>86</v>
      </c>
      <c r="D52" s="3"/>
      <c r="E52" s="14"/>
      <c r="F52" s="38">
        <f t="shared" si="10"/>
        <v>38398</v>
      </c>
      <c r="G52" s="9">
        <v>0.77083333333333337</v>
      </c>
      <c r="H52" s="8">
        <v>15970</v>
      </c>
      <c r="I52" s="32">
        <f t="shared" si="7"/>
        <v>12</v>
      </c>
      <c r="J52" s="41">
        <f t="shared" si="11"/>
        <v>38426</v>
      </c>
      <c r="K52" s="11">
        <v>0.77083333333333337</v>
      </c>
      <c r="L52" s="10">
        <v>16090</v>
      </c>
      <c r="M52" s="30">
        <f t="shared" si="8"/>
        <v>8</v>
      </c>
      <c r="N52" s="43">
        <f t="shared" si="12"/>
        <v>38457</v>
      </c>
      <c r="O52" s="13">
        <v>0.77083333333333337</v>
      </c>
      <c r="P52" s="12">
        <v>16114</v>
      </c>
      <c r="Q52" s="23">
        <f t="shared" si="9"/>
        <v>1</v>
      </c>
      <c r="R52" s="14"/>
    </row>
    <row r="53" spans="1:18" x14ac:dyDescent="0.2">
      <c r="A53" s="1" t="s">
        <v>54</v>
      </c>
      <c r="B53" s="26">
        <v>36.82</v>
      </c>
      <c r="C53" s="3" t="s">
        <v>86</v>
      </c>
      <c r="D53" s="3"/>
      <c r="E53" s="14"/>
      <c r="F53" s="38">
        <f t="shared" si="10"/>
        <v>38399</v>
      </c>
      <c r="G53" s="9">
        <v>0.77083333333333337</v>
      </c>
      <c r="H53" s="8">
        <v>15978</v>
      </c>
      <c r="I53" s="32">
        <f t="shared" si="7"/>
        <v>8</v>
      </c>
      <c r="J53" s="41">
        <f t="shared" si="11"/>
        <v>38427</v>
      </c>
      <c r="K53" s="11">
        <v>0.77083333333333337</v>
      </c>
      <c r="L53" s="10">
        <v>16092</v>
      </c>
      <c r="M53" s="30">
        <f t="shared" si="8"/>
        <v>2</v>
      </c>
      <c r="N53" s="43">
        <f t="shared" si="12"/>
        <v>38458</v>
      </c>
      <c r="O53" s="13">
        <v>0.77083333333333337</v>
      </c>
      <c r="P53" s="12">
        <v>16114</v>
      </c>
      <c r="Q53" s="23">
        <f t="shared" si="9"/>
        <v>0</v>
      </c>
      <c r="R53" s="14"/>
    </row>
    <row r="54" spans="1:18" x14ac:dyDescent="0.2">
      <c r="A54" s="1" t="s">
        <v>89</v>
      </c>
      <c r="B54" s="26">
        <v>-24.82</v>
      </c>
      <c r="C54" s="3" t="s">
        <v>86</v>
      </c>
      <c r="D54" s="3"/>
      <c r="E54" s="14"/>
      <c r="F54" s="38">
        <f t="shared" si="10"/>
        <v>38400</v>
      </c>
      <c r="G54" s="9">
        <v>0.77083333333333337</v>
      </c>
      <c r="H54" s="8">
        <v>15985</v>
      </c>
      <c r="I54" s="32">
        <f t="shared" si="7"/>
        <v>7</v>
      </c>
      <c r="J54" s="41">
        <f t="shared" si="11"/>
        <v>38428</v>
      </c>
      <c r="K54" s="11">
        <v>0.77083333333333337</v>
      </c>
      <c r="L54" s="10">
        <v>16094</v>
      </c>
      <c r="M54" s="30">
        <f t="shared" si="8"/>
        <v>2</v>
      </c>
      <c r="N54" s="43">
        <f t="shared" si="12"/>
        <v>38459</v>
      </c>
      <c r="O54" s="13" t="s">
        <v>25</v>
      </c>
      <c r="P54" s="12">
        <v>16114</v>
      </c>
      <c r="Q54" s="23">
        <f t="shared" si="9"/>
        <v>0</v>
      </c>
      <c r="R54" s="14"/>
    </row>
    <row r="55" spans="1:18" x14ac:dyDescent="0.2">
      <c r="A55" s="1" t="s">
        <v>91</v>
      </c>
      <c r="B55" s="26">
        <v>0.32</v>
      </c>
      <c r="C55" s="3" t="s">
        <v>86</v>
      </c>
      <c r="D55" s="3"/>
      <c r="E55" s="14"/>
      <c r="F55" s="38">
        <f t="shared" si="10"/>
        <v>38401</v>
      </c>
      <c r="G55" s="9">
        <v>0.77083333333333337</v>
      </c>
      <c r="H55" s="8">
        <v>15991</v>
      </c>
      <c r="I55" s="32">
        <f t="shared" si="7"/>
        <v>6</v>
      </c>
      <c r="J55" s="41">
        <f t="shared" si="11"/>
        <v>38429</v>
      </c>
      <c r="K55" s="11">
        <v>0.77083333333333337</v>
      </c>
      <c r="L55" s="10">
        <v>16096</v>
      </c>
      <c r="M55" s="30">
        <f t="shared" si="8"/>
        <v>2</v>
      </c>
      <c r="N55" s="43">
        <f t="shared" si="12"/>
        <v>38460</v>
      </c>
      <c r="O55" s="13" t="s">
        <v>26</v>
      </c>
      <c r="P55" s="12">
        <v>16114</v>
      </c>
      <c r="Q55" s="23">
        <f t="shared" si="9"/>
        <v>0</v>
      </c>
      <c r="R55" s="14"/>
    </row>
    <row r="56" spans="1:18" x14ac:dyDescent="0.2">
      <c r="A56" s="1"/>
      <c r="B56" s="2"/>
      <c r="C56" s="3"/>
      <c r="D56" s="3"/>
      <c r="E56" s="14"/>
      <c r="F56" s="38">
        <f t="shared" si="10"/>
        <v>38402</v>
      </c>
      <c r="G56" s="9">
        <v>0.77083333333333337</v>
      </c>
      <c r="H56" s="8">
        <v>15995</v>
      </c>
      <c r="I56" s="32">
        <f t="shared" si="7"/>
        <v>4</v>
      </c>
      <c r="J56" s="41">
        <f t="shared" si="11"/>
        <v>38430</v>
      </c>
      <c r="K56" s="11">
        <v>0.77083333333333337</v>
      </c>
      <c r="L56" s="10">
        <v>16098</v>
      </c>
      <c r="M56" s="30">
        <f t="shared" si="8"/>
        <v>2</v>
      </c>
      <c r="N56" s="43">
        <f t="shared" si="12"/>
        <v>38461</v>
      </c>
      <c r="O56" s="13">
        <v>0.77083333333333337</v>
      </c>
      <c r="P56" s="12">
        <v>16114</v>
      </c>
      <c r="Q56" s="23">
        <f t="shared" si="9"/>
        <v>0</v>
      </c>
      <c r="R56" s="14"/>
    </row>
    <row r="57" spans="1:18" x14ac:dyDescent="0.2">
      <c r="A57" s="1" t="s">
        <v>100</v>
      </c>
      <c r="B57" s="71">
        <f>SUM(B52:B55)</f>
        <v>61.97999999999999</v>
      </c>
      <c r="C57" s="3" t="s">
        <v>86</v>
      </c>
      <c r="E57" s="14"/>
      <c r="F57" s="38">
        <f t="shared" si="10"/>
        <v>38403</v>
      </c>
      <c r="G57" s="9" t="s">
        <v>25</v>
      </c>
      <c r="H57" s="8">
        <v>15995</v>
      </c>
      <c r="I57" s="32">
        <f t="shared" si="7"/>
        <v>0</v>
      </c>
      <c r="J57" s="41">
        <f t="shared" si="11"/>
        <v>38431</v>
      </c>
      <c r="K57" s="11" t="s">
        <v>25</v>
      </c>
      <c r="L57" s="10">
        <v>16098</v>
      </c>
      <c r="M57" s="30">
        <f t="shared" si="8"/>
        <v>0</v>
      </c>
      <c r="N57" s="43">
        <f t="shared" si="12"/>
        <v>38462</v>
      </c>
      <c r="O57" s="13">
        <v>0.77083333333333337</v>
      </c>
      <c r="P57" s="12">
        <v>16114</v>
      </c>
      <c r="Q57" s="23">
        <f t="shared" si="9"/>
        <v>0</v>
      </c>
      <c r="R57" s="14"/>
    </row>
    <row r="58" spans="1:18" x14ac:dyDescent="0.2">
      <c r="E58" s="14"/>
      <c r="F58" s="38">
        <f t="shared" si="10"/>
        <v>38404</v>
      </c>
      <c r="G58" s="9" t="s">
        <v>26</v>
      </c>
      <c r="H58" s="8">
        <v>15995</v>
      </c>
      <c r="I58" s="32">
        <f t="shared" si="7"/>
        <v>0</v>
      </c>
      <c r="J58" s="41">
        <f t="shared" si="11"/>
        <v>38432</v>
      </c>
      <c r="K58" s="11" t="s">
        <v>26</v>
      </c>
      <c r="L58" s="10">
        <v>16098</v>
      </c>
      <c r="M58" s="30">
        <f t="shared" si="8"/>
        <v>0</v>
      </c>
      <c r="N58" s="43">
        <f t="shared" si="12"/>
        <v>38463</v>
      </c>
      <c r="O58" s="13">
        <v>0.77083333333333337</v>
      </c>
      <c r="P58" s="12">
        <v>16114</v>
      </c>
      <c r="Q58" s="23">
        <f t="shared" si="9"/>
        <v>0</v>
      </c>
      <c r="R58" s="14"/>
    </row>
    <row r="59" spans="1:18" x14ac:dyDescent="0.2">
      <c r="E59" s="14"/>
      <c r="F59" s="38">
        <f t="shared" si="10"/>
        <v>38405</v>
      </c>
      <c r="G59" s="9">
        <v>0.77083333333333337</v>
      </c>
      <c r="H59" s="8">
        <v>16005</v>
      </c>
      <c r="I59" s="32">
        <f t="shared" si="7"/>
        <v>10</v>
      </c>
      <c r="J59" s="41">
        <f t="shared" si="11"/>
        <v>38433</v>
      </c>
      <c r="K59" s="11">
        <v>0.77083333333333337</v>
      </c>
      <c r="L59" s="10">
        <v>16100</v>
      </c>
      <c r="M59" s="30">
        <f t="shared" si="8"/>
        <v>2</v>
      </c>
      <c r="N59" s="43">
        <f t="shared" si="12"/>
        <v>38464</v>
      </c>
      <c r="O59" s="13">
        <v>0.77083333333333337</v>
      </c>
      <c r="P59" s="12">
        <v>16114</v>
      </c>
      <c r="Q59" s="23">
        <f t="shared" si="9"/>
        <v>0</v>
      </c>
      <c r="R59" s="14"/>
    </row>
    <row r="60" spans="1:18" x14ac:dyDescent="0.2">
      <c r="A60" s="72" t="s">
        <v>24</v>
      </c>
      <c r="B60" s="55">
        <f>B2</f>
        <v>19.040584093267583</v>
      </c>
      <c r="E60" s="14"/>
      <c r="F60" s="38">
        <f t="shared" si="10"/>
        <v>38406</v>
      </c>
      <c r="G60" s="9">
        <v>0.77083333333333337</v>
      </c>
      <c r="H60" s="8">
        <v>16011</v>
      </c>
      <c r="I60" s="32">
        <f t="shared" si="7"/>
        <v>6</v>
      </c>
      <c r="J60" s="41">
        <f t="shared" si="11"/>
        <v>38434</v>
      </c>
      <c r="K60" s="11">
        <v>0.77083333333333337</v>
      </c>
      <c r="L60" s="10">
        <v>16102</v>
      </c>
      <c r="M60" s="30">
        <f t="shared" si="8"/>
        <v>2</v>
      </c>
      <c r="N60" s="43">
        <f t="shared" si="12"/>
        <v>38465</v>
      </c>
      <c r="O60" s="13">
        <v>0.77083333333333337</v>
      </c>
      <c r="P60" s="12">
        <v>16114</v>
      </c>
      <c r="Q60" s="23">
        <f t="shared" si="9"/>
        <v>0</v>
      </c>
      <c r="R60" s="14"/>
    </row>
    <row r="61" spans="1:18" x14ac:dyDescent="0.2">
      <c r="E61" s="14"/>
      <c r="F61" s="38">
        <f t="shared" si="10"/>
        <v>38407</v>
      </c>
      <c r="G61" s="9">
        <v>0.77083333333333337</v>
      </c>
      <c r="H61" s="8">
        <v>16015</v>
      </c>
      <c r="I61" s="32">
        <f t="shared" si="7"/>
        <v>4</v>
      </c>
      <c r="J61" s="41">
        <f t="shared" si="11"/>
        <v>38435</v>
      </c>
      <c r="K61" s="11">
        <v>0.77083333333333337</v>
      </c>
      <c r="L61" s="10">
        <v>16102</v>
      </c>
      <c r="M61" s="30">
        <f t="shared" si="8"/>
        <v>0</v>
      </c>
      <c r="N61" s="43">
        <f t="shared" si="12"/>
        <v>38466</v>
      </c>
      <c r="O61" s="13" t="s">
        <v>25</v>
      </c>
      <c r="P61" s="12">
        <v>16114</v>
      </c>
      <c r="Q61" s="23">
        <f t="shared" si="9"/>
        <v>0</v>
      </c>
      <c r="R61" s="14"/>
    </row>
    <row r="62" spans="1:18" x14ac:dyDescent="0.2">
      <c r="E62" s="14"/>
      <c r="F62" s="38">
        <f t="shared" si="10"/>
        <v>38408</v>
      </c>
      <c r="G62" s="9">
        <v>0.77083333333333337</v>
      </c>
      <c r="H62" s="8">
        <v>16018</v>
      </c>
      <c r="I62" s="32">
        <f t="shared" si="7"/>
        <v>3</v>
      </c>
      <c r="J62" s="41">
        <f t="shared" si="11"/>
        <v>38436</v>
      </c>
      <c r="K62" s="11">
        <v>0.77083333333333337</v>
      </c>
      <c r="L62" s="10">
        <v>16102</v>
      </c>
      <c r="M62" s="30">
        <f t="shared" si="8"/>
        <v>0</v>
      </c>
      <c r="N62" s="43">
        <f t="shared" si="12"/>
        <v>38467</v>
      </c>
      <c r="O62" s="13" t="s">
        <v>26</v>
      </c>
      <c r="P62" s="12">
        <v>16114</v>
      </c>
      <c r="Q62" s="23">
        <f t="shared" si="9"/>
        <v>0</v>
      </c>
      <c r="R62" s="14"/>
    </row>
    <row r="63" spans="1:18" x14ac:dyDescent="0.2">
      <c r="E63" s="14"/>
      <c r="F63" s="38">
        <v>38774</v>
      </c>
      <c r="G63" s="9">
        <v>0.77083333333333337</v>
      </c>
      <c r="H63" s="8">
        <v>16021</v>
      </c>
      <c r="I63" s="32">
        <f>IF(AND(I62&lt;&gt;"",H63&lt;&gt;""),H63-H62,"")</f>
        <v>3</v>
      </c>
      <c r="J63" s="41">
        <v>38802</v>
      </c>
      <c r="K63" s="11">
        <v>0.77083333333333337</v>
      </c>
      <c r="L63" s="10">
        <v>16102</v>
      </c>
      <c r="M63" s="30">
        <f t="shared" si="8"/>
        <v>0</v>
      </c>
      <c r="N63" s="43">
        <f t="shared" si="12"/>
        <v>38468</v>
      </c>
      <c r="O63" s="13">
        <v>0.77083333333333337</v>
      </c>
      <c r="P63" s="12">
        <v>16114</v>
      </c>
      <c r="Q63" s="23">
        <f t="shared" si="9"/>
        <v>0</v>
      </c>
      <c r="R63" s="14"/>
    </row>
    <row r="64" spans="1:18" x14ac:dyDescent="0.2">
      <c r="E64" s="14"/>
      <c r="F64" s="38">
        <v>38775</v>
      </c>
      <c r="G64" s="9" t="s">
        <v>25</v>
      </c>
      <c r="H64" s="8">
        <v>16021</v>
      </c>
      <c r="I64" s="32">
        <f>IF(AND(I63&lt;&gt;"",H64&lt;&gt;""),H64-H63,"")</f>
        <v>0</v>
      </c>
      <c r="J64" s="41">
        <v>38803</v>
      </c>
      <c r="K64" s="11" t="s">
        <v>25</v>
      </c>
      <c r="L64" s="10">
        <v>16102</v>
      </c>
      <c r="M64" s="30">
        <f t="shared" si="8"/>
        <v>0</v>
      </c>
      <c r="N64" s="43">
        <f t="shared" si="12"/>
        <v>38469</v>
      </c>
      <c r="O64" s="13">
        <v>0.77083333333333337</v>
      </c>
      <c r="P64" s="12">
        <v>16114</v>
      </c>
      <c r="Q64" s="23">
        <f t="shared" si="9"/>
        <v>0</v>
      </c>
      <c r="R64" s="14"/>
    </row>
    <row r="65" spans="1:18" x14ac:dyDescent="0.2">
      <c r="E65" s="14"/>
      <c r="F65" s="38">
        <v>38776</v>
      </c>
      <c r="G65" s="9" t="s">
        <v>26</v>
      </c>
      <c r="H65" s="8">
        <v>16021</v>
      </c>
      <c r="I65" s="32">
        <f>IF(AND(I64&lt;&gt;"",H65&lt;&gt;""),H65-H64,"")</f>
        <v>0</v>
      </c>
      <c r="J65" s="41">
        <v>38804</v>
      </c>
      <c r="K65" s="11" t="s">
        <v>26</v>
      </c>
      <c r="L65" s="10">
        <v>16102</v>
      </c>
      <c r="M65" s="30">
        <f t="shared" si="8"/>
        <v>0</v>
      </c>
      <c r="N65" s="43">
        <f t="shared" si="12"/>
        <v>38470</v>
      </c>
      <c r="O65" s="13">
        <v>0.77083333333333337</v>
      </c>
      <c r="P65" s="12">
        <v>16114</v>
      </c>
      <c r="Q65" s="23">
        <f t="shared" si="9"/>
        <v>0</v>
      </c>
      <c r="R65" s="14"/>
    </row>
    <row r="66" spans="1:18" x14ac:dyDescent="0.2">
      <c r="A66" s="1"/>
      <c r="B66" s="2"/>
      <c r="C66" s="3"/>
      <c r="D66" s="3"/>
      <c r="E66" s="14"/>
      <c r="F66" s="38"/>
      <c r="G66" s="8"/>
      <c r="H66" s="8"/>
      <c r="I66" s="32" t="str">
        <f>IF(AND(I65&lt;&gt;"",H66&lt;&gt;""),H66-H65,"")</f>
        <v/>
      </c>
      <c r="J66" s="41">
        <v>38805</v>
      </c>
      <c r="K66" s="11">
        <v>0.77083333333333337</v>
      </c>
      <c r="L66" s="10">
        <v>16102</v>
      </c>
      <c r="M66" s="30">
        <f t="shared" si="8"/>
        <v>0</v>
      </c>
      <c r="N66" s="43">
        <f t="shared" si="12"/>
        <v>38471</v>
      </c>
      <c r="O66" s="13">
        <v>0.77083333333333337</v>
      </c>
      <c r="P66" s="12">
        <v>16114</v>
      </c>
      <c r="Q66" s="23">
        <f t="shared" si="9"/>
        <v>0</v>
      </c>
      <c r="R66" s="14"/>
    </row>
    <row r="67" spans="1:18" x14ac:dyDescent="0.2">
      <c r="A67" s="1"/>
      <c r="B67" s="2"/>
      <c r="C67" s="3"/>
      <c r="D67" s="3"/>
      <c r="E67" s="14"/>
      <c r="F67" s="38"/>
      <c r="G67" s="8"/>
      <c r="H67" s="8"/>
      <c r="I67" s="32" t="str">
        <f>IF(AND(I61&lt;&gt;"",H67&lt;&gt;""),H67-H61,"")</f>
        <v/>
      </c>
      <c r="J67" s="41">
        <v>38806</v>
      </c>
      <c r="K67" s="11">
        <v>0.77083333333333337</v>
      </c>
      <c r="L67" s="10">
        <v>16102</v>
      </c>
      <c r="M67" s="30">
        <f t="shared" si="8"/>
        <v>0</v>
      </c>
      <c r="N67" s="43">
        <f t="shared" si="12"/>
        <v>38472</v>
      </c>
      <c r="O67" s="13">
        <v>0.77083333333333337</v>
      </c>
      <c r="P67" s="12">
        <v>16114</v>
      </c>
      <c r="Q67" s="23">
        <f t="shared" si="9"/>
        <v>0</v>
      </c>
      <c r="R67" s="14"/>
    </row>
    <row r="68" spans="1:18" x14ac:dyDescent="0.2">
      <c r="A68" s="1"/>
      <c r="B68" s="2"/>
      <c r="C68" s="3"/>
      <c r="D68" s="3"/>
      <c r="E68" s="14"/>
      <c r="F68" s="38"/>
      <c r="G68" s="8"/>
      <c r="H68" s="8"/>
      <c r="I68" s="32" t="str">
        <f>IF(AND(I62&lt;&gt;"",H68&lt;&gt;""),H68-H62,"")</f>
        <v/>
      </c>
      <c r="J68" s="41">
        <v>38807</v>
      </c>
      <c r="K68" s="11">
        <v>0.77083333333333337</v>
      </c>
      <c r="L68" s="10">
        <v>16102</v>
      </c>
      <c r="M68" s="30">
        <f t="shared" si="8"/>
        <v>0</v>
      </c>
      <c r="N68" s="43"/>
      <c r="O68" s="12"/>
      <c r="P68" s="12"/>
      <c r="Q68" s="23" t="str">
        <f>IF(AND(Q62&lt;&gt;"",P68&lt;&gt;""),P68-P62,"")</f>
        <v/>
      </c>
      <c r="R68" s="14"/>
    </row>
    <row r="69" spans="1:18" ht="13.5" thickBot="1" x14ac:dyDescent="0.25">
      <c r="A69" s="1"/>
      <c r="B69" s="2"/>
      <c r="C69" s="3"/>
      <c r="D69" s="3"/>
      <c r="E69" s="14"/>
      <c r="F69" s="39"/>
      <c r="G69" s="25"/>
      <c r="H69" s="16"/>
      <c r="I69" s="33" t="str">
        <f>IF(AND(I68&lt;&gt;"",H69&lt;&gt;""),H69-H68,"")</f>
        <v/>
      </c>
      <c r="J69" s="42"/>
      <c r="K69" s="28"/>
      <c r="L69" s="17"/>
      <c r="M69" s="31" t="str">
        <f t="shared" si="8"/>
        <v/>
      </c>
      <c r="N69" s="44"/>
      <c r="O69" s="18"/>
      <c r="P69" s="18"/>
      <c r="Q69" s="24" t="str">
        <f>IF(AND(Q68&lt;&gt;"",P69&lt;&gt;""),P69-P68,"")</f>
        <v/>
      </c>
      <c r="R69" s="14"/>
    </row>
    <row r="70" spans="1:18" ht="13.5" thickTop="1" x14ac:dyDescent="0.2">
      <c r="A70" s="1"/>
      <c r="B70" s="2"/>
      <c r="C70" s="3"/>
      <c r="D70" s="3"/>
      <c r="E70" s="14"/>
      <c r="F70" s="36"/>
      <c r="G70" s="1"/>
      <c r="H70" s="1"/>
      <c r="I70" s="15"/>
      <c r="J70" s="40"/>
      <c r="K70" s="34"/>
      <c r="L70" s="56"/>
      <c r="M70" s="14"/>
      <c r="N70" s="40"/>
      <c r="O70" s="14"/>
      <c r="P70" s="14"/>
      <c r="Q70" s="14"/>
      <c r="R70" s="14"/>
    </row>
    <row r="71" spans="1:18" x14ac:dyDescent="0.2">
      <c r="A71" s="1"/>
      <c r="B71" s="2"/>
      <c r="C71" s="3"/>
      <c r="D71" s="3"/>
      <c r="E71" s="14"/>
      <c r="F71" s="36"/>
      <c r="G71" s="1"/>
      <c r="H71" s="1"/>
      <c r="I71" s="15"/>
      <c r="J71" s="40"/>
      <c r="K71" s="34"/>
      <c r="L71" s="56"/>
      <c r="M71" s="14"/>
      <c r="N71" s="40"/>
      <c r="O71" s="14"/>
      <c r="P71" s="14"/>
      <c r="Q71" s="14"/>
      <c r="R71" s="14"/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I60" sqref="I60"/>
    </sheetView>
  </sheetViews>
  <sheetFormatPr defaultRowHeight="12.75" x14ac:dyDescent="0.2"/>
  <cols>
    <col min="1" max="1" width="25" style="1" bestFit="1" customWidth="1"/>
    <col min="2" max="2" width="8.7109375" style="2" customWidth="1"/>
    <col min="3" max="3" width="6.5703125" style="3" bestFit="1" customWidth="1"/>
    <col min="4" max="4" width="10.28515625" style="3" bestFit="1" customWidth="1"/>
    <col min="5" max="5" width="4.7109375" style="14" customWidth="1"/>
    <col min="6" max="6" width="9.28515625" style="36" bestFit="1" customWidth="1"/>
    <col min="7" max="7" width="5.5703125" style="1" bestFit="1" customWidth="1"/>
    <col min="8" max="8" width="7" style="1" bestFit="1" customWidth="1"/>
    <col min="9" max="9" width="7" style="15" bestFit="1" customWidth="1"/>
    <col min="10" max="10" width="8.42578125" style="40" bestFit="1" customWidth="1"/>
    <col min="11" max="11" width="5.5703125" style="34" bestFit="1" customWidth="1"/>
    <col min="12" max="12" width="6.7109375" style="56" bestFit="1" customWidth="1"/>
    <col min="13" max="13" width="6.85546875" style="14" bestFit="1" customWidth="1"/>
    <col min="14" max="14" width="8.140625" style="40" bestFit="1" customWidth="1"/>
    <col min="15" max="15" width="5.5703125" style="14" bestFit="1" customWidth="1"/>
    <col min="16" max="16" width="6.7109375" style="14" bestFit="1" customWidth="1"/>
    <col min="17" max="17" width="8" style="14" bestFit="1" customWidth="1"/>
    <col min="18" max="16384" width="9.140625" style="14"/>
  </cols>
  <sheetData>
    <row r="1" spans="1:17" ht="13.5" thickBot="1" x14ac:dyDescent="0.25"/>
    <row r="2" spans="1:17" ht="13.5" thickTop="1" x14ac:dyDescent="0.2">
      <c r="A2" s="1" t="s">
        <v>24</v>
      </c>
      <c r="B2" s="55">
        <f>D44</f>
        <v>1.1126499999999999</v>
      </c>
      <c r="F2" s="37" t="s">
        <v>19</v>
      </c>
      <c r="G2" s="19" t="s">
        <v>10</v>
      </c>
      <c r="H2" s="19" t="s">
        <v>9</v>
      </c>
      <c r="I2" s="47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A3" s="1" t="s">
        <v>66</v>
      </c>
      <c r="B3" s="54">
        <v>515</v>
      </c>
      <c r="F3" s="38"/>
      <c r="G3" s="8"/>
      <c r="H3" s="8"/>
      <c r="I3" s="32"/>
      <c r="J3" s="46"/>
      <c r="K3" s="11"/>
      <c r="L3" s="10"/>
      <c r="M3" s="30"/>
      <c r="N3" s="49"/>
      <c r="O3" s="12"/>
      <c r="P3" s="12"/>
      <c r="Q3" s="23"/>
    </row>
    <row r="4" spans="1:17" x14ac:dyDescent="0.2">
      <c r="F4" s="38">
        <v>39387</v>
      </c>
      <c r="G4" s="9">
        <v>0.77083333333333337</v>
      </c>
      <c r="H4" s="8">
        <v>14645</v>
      </c>
      <c r="I4" s="60">
        <f>H4-B14</f>
        <v>0</v>
      </c>
      <c r="J4" s="46">
        <v>38687</v>
      </c>
      <c r="K4" s="11">
        <v>0.77083333333333337</v>
      </c>
      <c r="L4" s="10">
        <v>14763</v>
      </c>
      <c r="M4" s="30">
        <f>IF(AND(I35&lt;&gt;"",L4&lt;&gt;""),L4-L3,L4-MAX(H4:H35))</f>
        <v>20</v>
      </c>
      <c r="N4" s="43">
        <v>38353</v>
      </c>
      <c r="O4" s="13" t="s">
        <v>33</v>
      </c>
      <c r="P4" s="12">
        <v>14978</v>
      </c>
      <c r="Q4" s="23">
        <f>IF(AND(M35&lt;&gt;"",P4&lt;&gt;""),P4-P3,P4-MAX(L4:L34))</f>
        <v>0</v>
      </c>
    </row>
    <row r="5" spans="1:17" x14ac:dyDescent="0.2">
      <c r="A5" s="1" t="s">
        <v>70</v>
      </c>
      <c r="B5" s="26">
        <v>60.58</v>
      </c>
      <c r="F5" s="38">
        <f>F4+1</f>
        <v>39388</v>
      </c>
      <c r="G5" s="9">
        <v>0.77083333333333337</v>
      </c>
      <c r="H5" s="8">
        <v>14645</v>
      </c>
      <c r="I5" s="32">
        <f t="shared" ref="I5:I35" si="0">IF(AND(I4&lt;&gt;"",H5&lt;&gt;""),H5-H4,"")</f>
        <v>0</v>
      </c>
      <c r="J5" s="41">
        <f>J4+1</f>
        <v>38688</v>
      </c>
      <c r="K5" s="11">
        <v>0.77083333333333337</v>
      </c>
      <c r="L5" s="10">
        <v>14772</v>
      </c>
      <c r="M5" s="30">
        <f>IF(AND(M4&lt;&gt;"",L5&lt;&gt;""),L5-L4,"")</f>
        <v>9</v>
      </c>
      <c r="N5" s="43">
        <f>N4+1</f>
        <v>38354</v>
      </c>
      <c r="O5" s="13">
        <v>0.77083333333333337</v>
      </c>
      <c r="P5" s="12">
        <v>14995</v>
      </c>
      <c r="Q5" s="23">
        <f>IF(AND(Q4&lt;&gt;"",P5&lt;&gt;""),P5-P4,"")</f>
        <v>17</v>
      </c>
    </row>
    <row r="6" spans="1:17" x14ac:dyDescent="0.2">
      <c r="A6" s="1" t="s">
        <v>73</v>
      </c>
      <c r="B6" s="26">
        <v>287.44</v>
      </c>
      <c r="F6" s="38">
        <f t="shared" ref="F6:F33" si="1">F5+1</f>
        <v>39389</v>
      </c>
      <c r="G6" s="9">
        <v>0.77083333333333337</v>
      </c>
      <c r="H6" s="8">
        <v>14645</v>
      </c>
      <c r="I6" s="32">
        <f t="shared" si="0"/>
        <v>0</v>
      </c>
      <c r="J6" s="41">
        <f t="shared" ref="J6:J29" si="2">J5+1</f>
        <v>38689</v>
      </c>
      <c r="K6" s="11">
        <v>0.77083333333333337</v>
      </c>
      <c r="L6" s="10">
        <v>14779</v>
      </c>
      <c r="M6" s="30">
        <f>IF(AND(M5&lt;&gt;"",L6&lt;&gt;""),L6-L5,"")</f>
        <v>7</v>
      </c>
      <c r="N6" s="43">
        <f t="shared" ref="N6:N29" si="3">N5+1</f>
        <v>38355</v>
      </c>
      <c r="O6" s="13" t="s">
        <v>25</v>
      </c>
      <c r="P6" s="12">
        <v>14995</v>
      </c>
      <c r="Q6" s="23">
        <f t="shared" ref="Q6:Q29" si="4">IF(AND(Q5&lt;&gt;"",P6&lt;&gt;""),P6-P5,"")</f>
        <v>0</v>
      </c>
    </row>
    <row r="7" spans="1:17" x14ac:dyDescent="0.2">
      <c r="A7" s="1" t="s">
        <v>74</v>
      </c>
      <c r="B7" s="26">
        <v>276.14</v>
      </c>
      <c r="F7" s="38">
        <f t="shared" si="1"/>
        <v>39390</v>
      </c>
      <c r="G7" s="9">
        <v>0.77083333333333337</v>
      </c>
      <c r="H7" s="8">
        <v>14645</v>
      </c>
      <c r="I7" s="32">
        <f t="shared" si="0"/>
        <v>0</v>
      </c>
      <c r="J7" s="41">
        <f t="shared" si="2"/>
        <v>38690</v>
      </c>
      <c r="K7" s="11">
        <v>0.77083333333333337</v>
      </c>
      <c r="L7" s="10">
        <v>14788</v>
      </c>
      <c r="M7" s="30">
        <f>IF(AND(M6&lt;&gt;"",L7&lt;&gt;""),L7-L6,"")</f>
        <v>9</v>
      </c>
      <c r="N7" s="43">
        <f t="shared" si="3"/>
        <v>38356</v>
      </c>
      <c r="O7" s="13" t="s">
        <v>26</v>
      </c>
      <c r="P7" s="12">
        <v>14995</v>
      </c>
      <c r="Q7" s="23">
        <f t="shared" si="4"/>
        <v>0</v>
      </c>
    </row>
    <row r="8" spans="1:17" x14ac:dyDescent="0.2">
      <c r="B8" s="26"/>
      <c r="F8" s="38">
        <f t="shared" si="1"/>
        <v>39391</v>
      </c>
      <c r="G8" s="9">
        <v>0.77083333333333337</v>
      </c>
      <c r="H8" s="8">
        <v>14645</v>
      </c>
      <c r="I8" s="32">
        <f t="shared" si="0"/>
        <v>0</v>
      </c>
      <c r="J8" s="41">
        <f t="shared" si="2"/>
        <v>38691</v>
      </c>
      <c r="K8" s="11">
        <v>0.77083333333333337</v>
      </c>
      <c r="L8" s="10">
        <v>14796</v>
      </c>
      <c r="M8" s="30">
        <f>IF(AND(M7&lt;&gt;"",L8&lt;&gt;""),L8-L7,"")</f>
        <v>8</v>
      </c>
      <c r="N8" s="43">
        <f t="shared" si="3"/>
        <v>38357</v>
      </c>
      <c r="O8" s="13">
        <v>0.77083333333333337</v>
      </c>
      <c r="P8" s="12">
        <v>15022</v>
      </c>
      <c r="Q8" s="23">
        <f t="shared" si="4"/>
        <v>27</v>
      </c>
    </row>
    <row r="9" spans="1:17" x14ac:dyDescent="0.2">
      <c r="B9" s="26"/>
      <c r="F9" s="38">
        <f t="shared" si="1"/>
        <v>39392</v>
      </c>
      <c r="G9" s="9">
        <v>0.77083333333333337</v>
      </c>
      <c r="H9" s="8">
        <v>14657</v>
      </c>
      <c r="I9" s="32">
        <f t="shared" si="0"/>
        <v>12</v>
      </c>
      <c r="J9" s="41">
        <f t="shared" si="2"/>
        <v>38692</v>
      </c>
      <c r="K9" s="11" t="s">
        <v>25</v>
      </c>
      <c r="L9" s="10">
        <v>14796</v>
      </c>
      <c r="M9" s="30">
        <f>IF(AND(M8&lt;&gt;"",L9&lt;&gt;""),L9-L8,"")</f>
        <v>0</v>
      </c>
      <c r="N9" s="43">
        <f t="shared" si="3"/>
        <v>38358</v>
      </c>
      <c r="O9" s="13" t="s">
        <v>83</v>
      </c>
      <c r="P9" s="12">
        <v>15022</v>
      </c>
      <c r="Q9" s="23">
        <f t="shared" si="4"/>
        <v>0</v>
      </c>
    </row>
    <row r="10" spans="1:17" x14ac:dyDescent="0.2">
      <c r="A10" s="63" t="s">
        <v>59</v>
      </c>
      <c r="B10" s="64">
        <f>SUM(B5:B8)</f>
        <v>624.16</v>
      </c>
      <c r="F10" s="38">
        <f t="shared" si="1"/>
        <v>39393</v>
      </c>
      <c r="G10" s="9">
        <v>0.77083333333333337</v>
      </c>
      <c r="H10" s="8">
        <v>14659</v>
      </c>
      <c r="I10" s="32">
        <f t="shared" si="0"/>
        <v>2</v>
      </c>
      <c r="J10" s="41">
        <f t="shared" si="2"/>
        <v>38693</v>
      </c>
      <c r="K10" s="11" t="s">
        <v>26</v>
      </c>
      <c r="L10" s="10">
        <v>14796</v>
      </c>
      <c r="M10" s="30">
        <f t="shared" ref="M10:M29" si="5">IF(AND(M9&lt;&gt;"",L10&lt;&gt;""),L10-L9,"")</f>
        <v>0</v>
      </c>
      <c r="N10" s="43">
        <f t="shared" si="3"/>
        <v>38359</v>
      </c>
      <c r="O10" s="13">
        <v>0.77083333333333337</v>
      </c>
      <c r="P10" s="12">
        <v>15041</v>
      </c>
      <c r="Q10" s="23">
        <f t="shared" si="4"/>
        <v>19</v>
      </c>
    </row>
    <row r="11" spans="1:17" x14ac:dyDescent="0.2">
      <c r="A11" s="1" t="s">
        <v>69</v>
      </c>
      <c r="B11" s="27">
        <f>(MAX(H4:H33,L4:L34,P4:P34,H38:H65,L38:L68,P38:P67)-MIN(H4,H35))</f>
        <v>820</v>
      </c>
      <c r="F11" s="38">
        <f t="shared" si="1"/>
        <v>39394</v>
      </c>
      <c r="G11" s="9" t="s">
        <v>25</v>
      </c>
      <c r="H11" s="8">
        <v>14659</v>
      </c>
      <c r="I11" s="32">
        <f t="shared" si="0"/>
        <v>0</v>
      </c>
      <c r="J11" s="41">
        <f t="shared" si="2"/>
        <v>38694</v>
      </c>
      <c r="K11" s="11" t="s">
        <v>67</v>
      </c>
      <c r="L11" s="10">
        <v>14796</v>
      </c>
      <c r="M11" s="30">
        <f t="shared" si="5"/>
        <v>0</v>
      </c>
      <c r="N11" s="43">
        <f t="shared" si="3"/>
        <v>38360</v>
      </c>
      <c r="O11" s="13">
        <v>0.77083333333333337</v>
      </c>
      <c r="P11" s="12">
        <v>15049</v>
      </c>
      <c r="Q11" s="23">
        <f t="shared" si="4"/>
        <v>8</v>
      </c>
    </row>
    <row r="12" spans="1:17" x14ac:dyDescent="0.2">
      <c r="F12" s="38">
        <f t="shared" si="1"/>
        <v>39395</v>
      </c>
      <c r="G12" s="9" t="s">
        <v>26</v>
      </c>
      <c r="H12" s="8">
        <v>14659</v>
      </c>
      <c r="I12" s="32">
        <f t="shared" si="0"/>
        <v>0</v>
      </c>
      <c r="J12" s="41">
        <f t="shared" si="2"/>
        <v>38695</v>
      </c>
      <c r="K12" s="11">
        <v>0.77083333333333337</v>
      </c>
      <c r="L12" s="10">
        <v>14826</v>
      </c>
      <c r="M12" s="30">
        <f t="shared" si="5"/>
        <v>30</v>
      </c>
      <c r="N12" s="43">
        <f t="shared" si="3"/>
        <v>38361</v>
      </c>
      <c r="O12" s="13">
        <v>0.77083333333333337</v>
      </c>
      <c r="P12" s="12">
        <v>15057</v>
      </c>
      <c r="Q12" s="23">
        <f t="shared" si="4"/>
        <v>8</v>
      </c>
    </row>
    <row r="13" spans="1:17" x14ac:dyDescent="0.2">
      <c r="F13" s="38">
        <f t="shared" si="1"/>
        <v>39396</v>
      </c>
      <c r="G13" s="9">
        <v>0.77083333333333337</v>
      </c>
      <c r="H13" s="8">
        <v>14662</v>
      </c>
      <c r="I13" s="32">
        <f t="shared" si="0"/>
        <v>3</v>
      </c>
      <c r="J13" s="41">
        <f t="shared" si="2"/>
        <v>38696</v>
      </c>
      <c r="K13" s="11">
        <v>0.77083333333333337</v>
      </c>
      <c r="L13" s="10">
        <v>14835</v>
      </c>
      <c r="M13" s="30">
        <f t="shared" si="5"/>
        <v>9</v>
      </c>
      <c r="N13" s="43">
        <f t="shared" si="3"/>
        <v>38362</v>
      </c>
      <c r="O13" s="13" t="s">
        <v>25</v>
      </c>
      <c r="P13" s="12">
        <v>15057</v>
      </c>
      <c r="Q13" s="23">
        <f>IF(AND(Q12&lt;&gt;"",P13&lt;&gt;""),P13-P12,"")</f>
        <v>0</v>
      </c>
    </row>
    <row r="14" spans="1:17" x14ac:dyDescent="0.2">
      <c r="A14" s="1" t="s">
        <v>63</v>
      </c>
      <c r="B14" s="2">
        <v>14645</v>
      </c>
      <c r="F14" s="38">
        <f t="shared" si="1"/>
        <v>39397</v>
      </c>
      <c r="G14" s="9">
        <v>0.77083333333333337</v>
      </c>
      <c r="H14" s="8">
        <v>14664</v>
      </c>
      <c r="I14" s="32">
        <f t="shared" si="0"/>
        <v>2</v>
      </c>
      <c r="J14" s="41">
        <f t="shared" si="2"/>
        <v>38697</v>
      </c>
      <c r="K14" s="11">
        <v>0.77083333333333337</v>
      </c>
      <c r="L14" s="10">
        <v>14844</v>
      </c>
      <c r="M14" s="30">
        <f t="shared" si="5"/>
        <v>9</v>
      </c>
      <c r="N14" s="43">
        <f t="shared" si="3"/>
        <v>38363</v>
      </c>
      <c r="O14" s="13" t="s">
        <v>26</v>
      </c>
      <c r="P14" s="12">
        <v>15057</v>
      </c>
      <c r="Q14" s="23">
        <f t="shared" si="4"/>
        <v>0</v>
      </c>
    </row>
    <row r="15" spans="1:17" x14ac:dyDescent="0.2">
      <c r="A15" s="1" t="s">
        <v>71</v>
      </c>
      <c r="B15" s="2">
        <v>14731</v>
      </c>
      <c r="F15" s="38">
        <f t="shared" si="1"/>
        <v>39398</v>
      </c>
      <c r="G15" s="9">
        <v>0.77083333333333337</v>
      </c>
      <c r="H15" s="8">
        <v>14666</v>
      </c>
      <c r="I15" s="32">
        <f t="shared" si="0"/>
        <v>2</v>
      </c>
      <c r="J15" s="41">
        <f t="shared" si="2"/>
        <v>38698</v>
      </c>
      <c r="K15" s="11">
        <v>0.77083333333333337</v>
      </c>
      <c r="L15" s="10">
        <v>14852</v>
      </c>
      <c r="M15" s="30">
        <f t="shared" si="5"/>
        <v>8</v>
      </c>
      <c r="N15" s="43">
        <f t="shared" si="3"/>
        <v>38364</v>
      </c>
      <c r="O15" s="13">
        <v>0.77083333333333337</v>
      </c>
      <c r="P15" s="12">
        <v>15081</v>
      </c>
      <c r="Q15" s="23">
        <f t="shared" si="4"/>
        <v>24</v>
      </c>
    </row>
    <row r="16" spans="1:17" x14ac:dyDescent="0.2">
      <c r="A16" s="1" t="s">
        <v>78</v>
      </c>
      <c r="B16" s="2">
        <v>15102</v>
      </c>
      <c r="F16" s="38">
        <f t="shared" si="1"/>
        <v>39399</v>
      </c>
      <c r="G16" s="9">
        <v>0.77083333333333337</v>
      </c>
      <c r="H16" s="8">
        <v>14669</v>
      </c>
      <c r="I16" s="32">
        <f t="shared" si="0"/>
        <v>3</v>
      </c>
      <c r="J16" s="41">
        <f t="shared" si="2"/>
        <v>38699</v>
      </c>
      <c r="K16" s="11" t="s">
        <v>25</v>
      </c>
      <c r="L16" s="10">
        <v>14852</v>
      </c>
      <c r="M16" s="30">
        <f t="shared" si="5"/>
        <v>0</v>
      </c>
      <c r="N16" s="43">
        <f t="shared" si="3"/>
        <v>38365</v>
      </c>
      <c r="O16" s="13">
        <v>0.77083333333333337</v>
      </c>
      <c r="P16" s="12">
        <v>15089</v>
      </c>
      <c r="Q16" s="23">
        <f t="shared" si="4"/>
        <v>8</v>
      </c>
    </row>
    <row r="17" spans="1:17" x14ac:dyDescent="0.2">
      <c r="A17" s="1" t="s">
        <v>42</v>
      </c>
      <c r="B17" s="2">
        <v>15463</v>
      </c>
      <c r="F17" s="38">
        <f t="shared" si="1"/>
        <v>39400</v>
      </c>
      <c r="G17" s="9">
        <v>0.77083333333333337</v>
      </c>
      <c r="H17" s="8">
        <v>14672</v>
      </c>
      <c r="I17" s="32">
        <f t="shared" si="0"/>
        <v>3</v>
      </c>
      <c r="J17" s="41">
        <f t="shared" si="2"/>
        <v>38700</v>
      </c>
      <c r="K17" s="11" t="s">
        <v>26</v>
      </c>
      <c r="L17" s="10">
        <v>14852</v>
      </c>
      <c r="M17" s="30">
        <f t="shared" si="5"/>
        <v>0</v>
      </c>
      <c r="N17" s="43">
        <f t="shared" si="3"/>
        <v>38366</v>
      </c>
      <c r="O17" s="13">
        <v>0.77083333333333337</v>
      </c>
      <c r="P17" s="12">
        <v>15097</v>
      </c>
      <c r="Q17" s="23">
        <f t="shared" si="4"/>
        <v>8</v>
      </c>
    </row>
    <row r="18" spans="1:17" x14ac:dyDescent="0.2">
      <c r="A18" s="1" t="s">
        <v>77</v>
      </c>
      <c r="B18" s="2">
        <v>15465</v>
      </c>
      <c r="F18" s="38">
        <f t="shared" si="1"/>
        <v>39401</v>
      </c>
      <c r="G18" s="9" t="s">
        <v>25</v>
      </c>
      <c r="H18" s="8">
        <v>14672</v>
      </c>
      <c r="I18" s="32">
        <f t="shared" si="0"/>
        <v>0</v>
      </c>
      <c r="J18" s="41">
        <f t="shared" si="2"/>
        <v>38701</v>
      </c>
      <c r="K18" s="11">
        <v>0.77083333333333337</v>
      </c>
      <c r="L18" s="10">
        <v>14867</v>
      </c>
      <c r="M18" s="30">
        <f t="shared" si="5"/>
        <v>15</v>
      </c>
      <c r="N18" s="43">
        <f t="shared" si="3"/>
        <v>38367</v>
      </c>
      <c r="O18" s="13">
        <v>0.77083333333333337</v>
      </c>
      <c r="P18" s="12">
        <v>15105</v>
      </c>
      <c r="Q18" s="23">
        <f t="shared" si="4"/>
        <v>8</v>
      </c>
    </row>
    <row r="19" spans="1:17" x14ac:dyDescent="0.2">
      <c r="F19" s="38">
        <f t="shared" si="1"/>
        <v>39402</v>
      </c>
      <c r="G19" s="9" t="s">
        <v>26</v>
      </c>
      <c r="H19" s="8">
        <v>14672</v>
      </c>
      <c r="I19" s="32">
        <f t="shared" si="0"/>
        <v>0</v>
      </c>
      <c r="J19" s="41">
        <f t="shared" si="2"/>
        <v>38702</v>
      </c>
      <c r="K19" s="11">
        <v>0.77083333333333337</v>
      </c>
      <c r="L19" s="10">
        <v>14873</v>
      </c>
      <c r="M19" s="30">
        <f t="shared" si="5"/>
        <v>6</v>
      </c>
      <c r="N19" s="43">
        <f t="shared" si="3"/>
        <v>38368</v>
      </c>
      <c r="O19" s="13">
        <v>0.77083333333333337</v>
      </c>
      <c r="P19" s="12">
        <v>15112</v>
      </c>
      <c r="Q19" s="23">
        <f t="shared" si="4"/>
        <v>7</v>
      </c>
    </row>
    <row r="20" spans="1:17" x14ac:dyDescent="0.2">
      <c r="F20" s="38">
        <f t="shared" si="1"/>
        <v>39403</v>
      </c>
      <c r="G20" s="9">
        <v>0.77083333333333337</v>
      </c>
      <c r="H20" s="8">
        <v>14677</v>
      </c>
      <c r="I20" s="32">
        <f t="shared" si="0"/>
        <v>5</v>
      </c>
      <c r="J20" s="41">
        <f t="shared" si="2"/>
        <v>38703</v>
      </c>
      <c r="K20" s="11">
        <v>0.77083333333333337</v>
      </c>
      <c r="L20" s="10">
        <v>14878</v>
      </c>
      <c r="M20" s="30">
        <f t="shared" si="5"/>
        <v>5</v>
      </c>
      <c r="N20" s="43">
        <f t="shared" si="3"/>
        <v>38369</v>
      </c>
      <c r="O20" s="13" t="s">
        <v>25</v>
      </c>
      <c r="P20" s="12">
        <v>15112</v>
      </c>
      <c r="Q20" s="23">
        <f t="shared" si="4"/>
        <v>0</v>
      </c>
    </row>
    <row r="21" spans="1:17" x14ac:dyDescent="0.2">
      <c r="F21" s="38">
        <f t="shared" si="1"/>
        <v>39404</v>
      </c>
      <c r="G21" s="9">
        <v>0.77083333333333337</v>
      </c>
      <c r="H21" s="8">
        <v>14682</v>
      </c>
      <c r="I21" s="32">
        <f t="shared" si="0"/>
        <v>5</v>
      </c>
      <c r="J21" s="41">
        <f t="shared" si="2"/>
        <v>38704</v>
      </c>
      <c r="K21" s="11">
        <v>0.77083333333333337</v>
      </c>
      <c r="L21" s="10">
        <v>14883</v>
      </c>
      <c r="M21" s="30">
        <f t="shared" si="5"/>
        <v>5</v>
      </c>
      <c r="N21" s="43">
        <f t="shared" si="3"/>
        <v>38370</v>
      </c>
      <c r="O21" s="13" t="s">
        <v>26</v>
      </c>
      <c r="P21" s="12">
        <v>15112</v>
      </c>
      <c r="Q21" s="23">
        <f t="shared" si="4"/>
        <v>0</v>
      </c>
    </row>
    <row r="22" spans="1:17" x14ac:dyDescent="0.2">
      <c r="D22" s="26"/>
      <c r="F22" s="38">
        <f t="shared" si="1"/>
        <v>39405</v>
      </c>
      <c r="G22" s="9">
        <v>0.77083333333333337</v>
      </c>
      <c r="H22" s="8">
        <v>14685</v>
      </c>
      <c r="I22" s="32">
        <f t="shared" si="0"/>
        <v>3</v>
      </c>
      <c r="J22" s="41">
        <f t="shared" si="2"/>
        <v>38705</v>
      </c>
      <c r="K22" s="11">
        <v>0.77083333333333337</v>
      </c>
      <c r="L22" s="10">
        <v>14888</v>
      </c>
      <c r="M22" s="30">
        <f t="shared" si="5"/>
        <v>5</v>
      </c>
      <c r="N22" s="43">
        <f t="shared" si="3"/>
        <v>38371</v>
      </c>
      <c r="O22" s="13">
        <v>0.77083333333333337</v>
      </c>
      <c r="P22" s="12">
        <v>15135</v>
      </c>
      <c r="Q22" s="23">
        <f t="shared" si="4"/>
        <v>23</v>
      </c>
    </row>
    <row r="23" spans="1:17" x14ac:dyDescent="0.2">
      <c r="F23" s="38">
        <f t="shared" si="1"/>
        <v>39406</v>
      </c>
      <c r="G23" s="9">
        <v>0.77083333333333337</v>
      </c>
      <c r="H23" s="8">
        <v>14690</v>
      </c>
      <c r="I23" s="32">
        <f t="shared" si="0"/>
        <v>5</v>
      </c>
      <c r="J23" s="41">
        <f t="shared" si="2"/>
        <v>38706</v>
      </c>
      <c r="K23" s="11" t="s">
        <v>25</v>
      </c>
      <c r="L23" s="10">
        <v>14888</v>
      </c>
      <c r="M23" s="30">
        <f t="shared" si="5"/>
        <v>0</v>
      </c>
      <c r="N23" s="43">
        <f t="shared" si="3"/>
        <v>38372</v>
      </c>
      <c r="O23" s="13">
        <v>0.77083333333333337</v>
      </c>
      <c r="P23" s="12">
        <v>15143</v>
      </c>
      <c r="Q23" s="23">
        <f t="shared" si="4"/>
        <v>8</v>
      </c>
    </row>
    <row r="24" spans="1:17" x14ac:dyDescent="0.2">
      <c r="B24" s="3"/>
      <c r="F24" s="38">
        <f t="shared" si="1"/>
        <v>39407</v>
      </c>
      <c r="G24" s="9">
        <v>0.77083333333333337</v>
      </c>
      <c r="H24" s="8">
        <v>14694</v>
      </c>
      <c r="I24" s="32">
        <f t="shared" si="0"/>
        <v>4</v>
      </c>
      <c r="J24" s="41">
        <f t="shared" si="2"/>
        <v>38707</v>
      </c>
      <c r="K24" s="11" t="s">
        <v>26</v>
      </c>
      <c r="L24" s="10">
        <v>14888</v>
      </c>
      <c r="M24" s="30">
        <f t="shared" si="5"/>
        <v>0</v>
      </c>
      <c r="N24" s="43">
        <f t="shared" si="3"/>
        <v>38373</v>
      </c>
      <c r="O24" s="13">
        <v>0.77083333333333337</v>
      </c>
      <c r="P24" s="12">
        <v>15151</v>
      </c>
      <c r="Q24" s="23">
        <f t="shared" si="4"/>
        <v>8</v>
      </c>
    </row>
    <row r="25" spans="1:17" x14ac:dyDescent="0.2">
      <c r="D25" s="26"/>
      <c r="F25" s="38">
        <f t="shared" si="1"/>
        <v>39408</v>
      </c>
      <c r="G25" s="9" t="s">
        <v>25</v>
      </c>
      <c r="H25" s="8">
        <v>14694</v>
      </c>
      <c r="I25" s="32">
        <f t="shared" si="0"/>
        <v>0</v>
      </c>
      <c r="J25" s="41">
        <f t="shared" si="2"/>
        <v>38708</v>
      </c>
      <c r="K25" s="11">
        <v>0.77083333333333337</v>
      </c>
      <c r="L25" s="10">
        <v>14905</v>
      </c>
      <c r="M25" s="30">
        <f t="shared" si="5"/>
        <v>17</v>
      </c>
      <c r="N25" s="43">
        <f t="shared" si="3"/>
        <v>38374</v>
      </c>
      <c r="O25" s="13">
        <v>0.77083333333333337</v>
      </c>
      <c r="P25" s="12">
        <v>15158</v>
      </c>
      <c r="Q25" s="23">
        <f t="shared" si="4"/>
        <v>7</v>
      </c>
    </row>
    <row r="26" spans="1:17" x14ac:dyDescent="0.2">
      <c r="B26" s="27"/>
      <c r="F26" s="38">
        <f t="shared" si="1"/>
        <v>39409</v>
      </c>
      <c r="G26" s="9" t="s">
        <v>26</v>
      </c>
      <c r="H26" s="8">
        <v>14694</v>
      </c>
      <c r="I26" s="32">
        <f t="shared" si="0"/>
        <v>0</v>
      </c>
      <c r="J26" s="41">
        <f t="shared" si="2"/>
        <v>38709</v>
      </c>
      <c r="K26" s="11">
        <v>0.77083333333333337</v>
      </c>
      <c r="L26" s="10">
        <v>14913</v>
      </c>
      <c r="M26" s="30">
        <f t="shared" si="5"/>
        <v>8</v>
      </c>
      <c r="N26" s="43">
        <f t="shared" si="3"/>
        <v>38375</v>
      </c>
      <c r="O26" s="13">
        <v>0.77083333333333337</v>
      </c>
      <c r="P26" s="12">
        <v>15166</v>
      </c>
      <c r="Q26" s="23">
        <f t="shared" si="4"/>
        <v>8</v>
      </c>
    </row>
    <row r="27" spans="1:17" x14ac:dyDescent="0.2">
      <c r="B27" s="3"/>
      <c r="F27" s="38">
        <f t="shared" si="1"/>
        <v>39410</v>
      </c>
      <c r="G27" s="9">
        <v>0.77083333333333337</v>
      </c>
      <c r="H27" s="8">
        <v>14709</v>
      </c>
      <c r="I27" s="32">
        <f t="shared" si="0"/>
        <v>15</v>
      </c>
      <c r="J27" s="41">
        <f t="shared" si="2"/>
        <v>38710</v>
      </c>
      <c r="K27" s="11">
        <v>0.77083333333333337</v>
      </c>
      <c r="L27" s="10">
        <v>14920</v>
      </c>
      <c r="M27" s="30">
        <f t="shared" si="5"/>
        <v>7</v>
      </c>
      <c r="N27" s="43">
        <f t="shared" si="3"/>
        <v>38376</v>
      </c>
      <c r="O27" s="13" t="s">
        <v>25</v>
      </c>
      <c r="P27" s="12">
        <v>15166</v>
      </c>
      <c r="Q27" s="23">
        <f t="shared" si="4"/>
        <v>0</v>
      </c>
    </row>
    <row r="28" spans="1:17" x14ac:dyDescent="0.2">
      <c r="F28" s="38">
        <f t="shared" si="1"/>
        <v>39411</v>
      </c>
      <c r="G28" s="9">
        <v>0.77083333333333337</v>
      </c>
      <c r="H28" s="8">
        <v>14718</v>
      </c>
      <c r="I28" s="32">
        <f t="shared" si="0"/>
        <v>9</v>
      </c>
      <c r="J28" s="46">
        <f t="shared" si="2"/>
        <v>38711</v>
      </c>
      <c r="K28" s="52" t="s">
        <v>31</v>
      </c>
      <c r="L28" s="53">
        <v>14920</v>
      </c>
      <c r="M28" s="30">
        <f t="shared" si="5"/>
        <v>0</v>
      </c>
      <c r="N28" s="43">
        <f t="shared" si="3"/>
        <v>38377</v>
      </c>
      <c r="O28" s="13" t="s">
        <v>26</v>
      </c>
      <c r="P28" s="12">
        <v>15166</v>
      </c>
      <c r="Q28" s="23">
        <f t="shared" si="4"/>
        <v>0</v>
      </c>
    </row>
    <row r="29" spans="1:17" x14ac:dyDescent="0.2">
      <c r="A29" s="1" t="s">
        <v>60</v>
      </c>
      <c r="B29" s="6" t="s">
        <v>8</v>
      </c>
      <c r="C29" s="4" t="s">
        <v>5</v>
      </c>
      <c r="D29" s="4" t="s">
        <v>6</v>
      </c>
      <c r="F29" s="38">
        <f t="shared" si="1"/>
        <v>39412</v>
      </c>
      <c r="G29" s="9">
        <v>0.77083333333333337</v>
      </c>
      <c r="H29" s="8">
        <v>14726</v>
      </c>
      <c r="I29" s="32">
        <f t="shared" si="0"/>
        <v>8</v>
      </c>
      <c r="J29" s="41">
        <f t="shared" si="2"/>
        <v>38712</v>
      </c>
      <c r="K29" s="51" t="s">
        <v>68</v>
      </c>
      <c r="L29" s="59">
        <v>14920</v>
      </c>
      <c r="M29" s="30">
        <f t="shared" si="5"/>
        <v>0</v>
      </c>
      <c r="N29" s="43">
        <f t="shared" si="3"/>
        <v>38378</v>
      </c>
      <c r="O29" s="13">
        <v>0.77083333333333337</v>
      </c>
      <c r="P29" s="12">
        <v>15186</v>
      </c>
      <c r="Q29" s="23">
        <f t="shared" si="4"/>
        <v>20</v>
      </c>
    </row>
    <row r="30" spans="1:17" x14ac:dyDescent="0.2">
      <c r="A30" s="5"/>
      <c r="F30" s="38">
        <f t="shared" si="1"/>
        <v>39413</v>
      </c>
      <c r="G30" s="9">
        <v>0.77083333333333337</v>
      </c>
      <c r="H30" s="8">
        <v>14734</v>
      </c>
      <c r="I30" s="32">
        <f t="shared" si="0"/>
        <v>8</v>
      </c>
      <c r="J30" s="41">
        <f>J29+1</f>
        <v>38713</v>
      </c>
      <c r="K30" s="51" t="s">
        <v>25</v>
      </c>
      <c r="L30" s="59">
        <v>14920</v>
      </c>
      <c r="M30" s="30">
        <f t="shared" ref="M30:M35" si="6">IF(AND(M29&lt;&gt;"",L30&lt;&gt;""),L30-L29,"")</f>
        <v>0</v>
      </c>
      <c r="N30" s="43">
        <f>N29+1</f>
        <v>38379</v>
      </c>
      <c r="O30" s="13">
        <v>0.77083333333333337</v>
      </c>
      <c r="P30" s="12">
        <v>15193</v>
      </c>
      <c r="Q30" s="23">
        <f t="shared" ref="Q30:Q35" si="7">IF(AND(Q29&lt;&gt;"",P30&lt;&gt;""),P30-P29,"")</f>
        <v>7</v>
      </c>
    </row>
    <row r="31" spans="1:17" x14ac:dyDescent="0.2">
      <c r="A31" s="1" t="s">
        <v>0</v>
      </c>
      <c r="B31" s="2">
        <f>SUM("31/03/2009"-"31/03/2009")</f>
        <v>0</v>
      </c>
      <c r="F31" s="38">
        <f t="shared" si="1"/>
        <v>39414</v>
      </c>
      <c r="G31" s="9">
        <v>0.77083333333333337</v>
      </c>
      <c r="H31" s="8">
        <v>14743</v>
      </c>
      <c r="I31" s="32">
        <f t="shared" si="0"/>
        <v>9</v>
      </c>
      <c r="J31" s="41">
        <f>J30+1</f>
        <v>38714</v>
      </c>
      <c r="K31" s="51" t="s">
        <v>26</v>
      </c>
      <c r="L31" s="59">
        <v>14920</v>
      </c>
      <c r="M31" s="30">
        <f t="shared" si="6"/>
        <v>0</v>
      </c>
      <c r="N31" s="43">
        <f>N30+1</f>
        <v>38380</v>
      </c>
      <c r="O31" s="13">
        <v>0.77083333333333337</v>
      </c>
      <c r="P31" s="12">
        <v>15199</v>
      </c>
      <c r="Q31" s="23">
        <f t="shared" si="7"/>
        <v>6</v>
      </c>
    </row>
    <row r="32" spans="1:17" x14ac:dyDescent="0.2">
      <c r="A32" s="1" t="s">
        <v>4</v>
      </c>
      <c r="B32" s="2">
        <f>MAX(H4:H30, L4:L30,P4:P30, H33:H66, L33:L68, P33:P67)-15463</f>
        <v>2</v>
      </c>
      <c r="F32" s="38">
        <f t="shared" si="1"/>
        <v>39415</v>
      </c>
      <c r="G32" s="9" t="s">
        <v>25</v>
      </c>
      <c r="H32" s="8">
        <v>14743</v>
      </c>
      <c r="I32" s="32">
        <f t="shared" si="0"/>
        <v>0</v>
      </c>
      <c r="J32" s="41">
        <f>J31+1</f>
        <v>38715</v>
      </c>
      <c r="K32" s="51">
        <v>0.77083333333333337</v>
      </c>
      <c r="L32" s="59">
        <v>14960</v>
      </c>
      <c r="M32" s="30">
        <f t="shared" si="6"/>
        <v>40</v>
      </c>
      <c r="N32" s="43">
        <f>N31+1</f>
        <v>38381</v>
      </c>
      <c r="O32" s="13">
        <v>0.77083333333333337</v>
      </c>
      <c r="P32" s="12">
        <v>15205</v>
      </c>
      <c r="Q32" s="23">
        <f t="shared" si="7"/>
        <v>6</v>
      </c>
    </row>
    <row r="33" spans="1:17" x14ac:dyDescent="0.2">
      <c r="A33" s="1" t="s">
        <v>1</v>
      </c>
      <c r="B33" s="2">
        <f>B31</f>
        <v>0</v>
      </c>
      <c r="C33" s="3">
        <v>8.2192000000000001E-2</v>
      </c>
      <c r="D33" s="3">
        <f>(B33*C33)*1.2</f>
        <v>0</v>
      </c>
      <c r="F33" s="38">
        <f t="shared" si="1"/>
        <v>39416</v>
      </c>
      <c r="G33" s="9" t="s">
        <v>26</v>
      </c>
      <c r="H33" s="8">
        <v>14743</v>
      </c>
      <c r="I33" s="32">
        <f t="shared" si="0"/>
        <v>0</v>
      </c>
      <c r="J33" s="41">
        <f>J32+1</f>
        <v>38716</v>
      </c>
      <c r="K33" s="51">
        <v>0.77083333333333337</v>
      </c>
      <c r="L33" s="59">
        <v>14969</v>
      </c>
      <c r="M33" s="30">
        <f t="shared" si="6"/>
        <v>9</v>
      </c>
      <c r="N33" s="43">
        <f>N32+1</f>
        <v>38382</v>
      </c>
      <c r="O33" s="13">
        <v>0.77083333333333337</v>
      </c>
      <c r="P33" s="12">
        <v>15211</v>
      </c>
      <c r="Q33" s="23">
        <f t="shared" si="7"/>
        <v>6</v>
      </c>
    </row>
    <row r="34" spans="1:17" x14ac:dyDescent="0.2">
      <c r="A34" s="1" t="s">
        <v>54</v>
      </c>
      <c r="B34" s="2">
        <f>B31</f>
        <v>0</v>
      </c>
      <c r="C34" s="3">
        <v>9.8630000000000002E-3</v>
      </c>
      <c r="D34" s="3">
        <f>(B34*C34)*1.2</f>
        <v>0</v>
      </c>
      <c r="F34" s="38"/>
      <c r="G34" s="8"/>
      <c r="H34" s="8"/>
      <c r="I34" s="32" t="str">
        <f t="shared" si="0"/>
        <v/>
      </c>
      <c r="J34" s="41">
        <f>J33+1</f>
        <v>38717</v>
      </c>
      <c r="K34" s="51">
        <v>0.77083333333333337</v>
      </c>
      <c r="L34" s="59">
        <v>14978</v>
      </c>
      <c r="M34" s="30">
        <f t="shared" si="6"/>
        <v>9</v>
      </c>
      <c r="N34" s="43">
        <f>N33+1</f>
        <v>38383</v>
      </c>
      <c r="O34" s="13" t="s">
        <v>25</v>
      </c>
      <c r="P34" s="12">
        <v>15211</v>
      </c>
      <c r="Q34" s="23">
        <f t="shared" si="7"/>
        <v>0</v>
      </c>
    </row>
    <row r="35" spans="1:17" ht="13.5" thickBot="1" x14ac:dyDescent="0.25">
      <c r="A35" s="1" t="s">
        <v>22</v>
      </c>
      <c r="B35" s="2">
        <f>B40</f>
        <v>0</v>
      </c>
      <c r="C35" s="3">
        <v>1.072E-3</v>
      </c>
      <c r="D35" s="3">
        <f t="shared" ref="D35:D42" si="8">B35*C35</f>
        <v>0</v>
      </c>
      <c r="F35" s="38"/>
      <c r="G35" s="8"/>
      <c r="H35" s="8"/>
      <c r="I35" s="32" t="str">
        <f t="shared" si="0"/>
        <v/>
      </c>
      <c r="J35" s="41"/>
      <c r="K35" s="51"/>
      <c r="L35" s="57"/>
      <c r="M35" s="30" t="str">
        <f t="shared" si="6"/>
        <v/>
      </c>
      <c r="N35" s="43"/>
      <c r="O35" s="12"/>
      <c r="P35" s="12"/>
      <c r="Q35" s="23" t="str">
        <f t="shared" si="7"/>
        <v/>
      </c>
    </row>
    <row r="36" spans="1:17" ht="13.5" thickTop="1" x14ac:dyDescent="0.2">
      <c r="A36" s="1" t="s">
        <v>15</v>
      </c>
      <c r="B36" s="2">
        <f>B41</f>
        <v>2</v>
      </c>
      <c r="C36" s="3">
        <v>6.0227999999999997E-2</v>
      </c>
      <c r="D36" s="3">
        <f t="shared" si="8"/>
        <v>0.12045599999999999</v>
      </c>
      <c r="F36" s="37" t="s">
        <v>13</v>
      </c>
      <c r="G36" s="19" t="s">
        <v>10</v>
      </c>
      <c r="H36" s="19" t="s">
        <v>9</v>
      </c>
      <c r="I36" s="47" t="s">
        <v>11</v>
      </c>
      <c r="J36" s="45" t="s">
        <v>14</v>
      </c>
      <c r="K36" s="35" t="s">
        <v>10</v>
      </c>
      <c r="L36" s="20" t="s">
        <v>9</v>
      </c>
      <c r="M36" s="50" t="s">
        <v>11</v>
      </c>
      <c r="N36" s="48" t="s">
        <v>21</v>
      </c>
      <c r="O36" s="21" t="s">
        <v>10</v>
      </c>
      <c r="P36" s="21" t="s">
        <v>9</v>
      </c>
      <c r="Q36" s="22" t="s">
        <v>11</v>
      </c>
    </row>
    <row r="37" spans="1:17" x14ac:dyDescent="0.2">
      <c r="A37" s="1" t="s">
        <v>17</v>
      </c>
      <c r="B37" s="2">
        <f>B42</f>
        <v>0</v>
      </c>
      <c r="C37" s="3">
        <v>3.3156999999999999E-2</v>
      </c>
      <c r="D37" s="3">
        <f t="shared" si="8"/>
        <v>0</v>
      </c>
      <c r="F37" s="38"/>
      <c r="G37" s="8"/>
      <c r="H37" s="8"/>
      <c r="I37" s="32"/>
      <c r="J37" s="46"/>
      <c r="K37" s="11"/>
      <c r="L37" s="10"/>
      <c r="M37" s="30"/>
      <c r="N37" s="49"/>
      <c r="O37" s="12"/>
      <c r="P37" s="12"/>
      <c r="Q37" s="23"/>
    </row>
    <row r="38" spans="1:17" x14ac:dyDescent="0.2">
      <c r="A38" s="1" t="s">
        <v>55</v>
      </c>
      <c r="B38" s="2">
        <v>0</v>
      </c>
      <c r="C38" s="29">
        <f>B51</f>
        <v>0.17100000000000001</v>
      </c>
      <c r="D38" s="3">
        <f t="shared" si="8"/>
        <v>0</v>
      </c>
      <c r="F38" s="38">
        <v>38384</v>
      </c>
      <c r="G38" s="9" t="s">
        <v>26</v>
      </c>
      <c r="H38" s="8">
        <v>15211</v>
      </c>
      <c r="I38" s="32">
        <f>H38-P34</f>
        <v>0</v>
      </c>
      <c r="J38" s="46">
        <v>38412</v>
      </c>
      <c r="K38" s="11" t="s">
        <v>26</v>
      </c>
      <c r="L38" s="10">
        <v>15378</v>
      </c>
      <c r="M38" s="30">
        <f>IF(AND(I69&lt;&gt;"",L38&lt;&gt;""),L38-L37,L38-MAX(H38:H69))</f>
        <v>0</v>
      </c>
      <c r="N38" s="43">
        <v>38443</v>
      </c>
      <c r="O38" s="13">
        <v>0.77083333333333337</v>
      </c>
      <c r="P38" s="12">
        <v>15458</v>
      </c>
      <c r="Q38" s="23">
        <f>IF(AND(M69&lt;&gt;"",P38&lt;&gt;""),P38-P37,P38-MAX(L38:L69))</f>
        <v>2</v>
      </c>
    </row>
    <row r="39" spans="1:17" x14ac:dyDescent="0.2">
      <c r="A39" s="1" t="s">
        <v>75</v>
      </c>
      <c r="B39" s="2">
        <v>0</v>
      </c>
      <c r="C39" s="3">
        <f>B50</f>
        <v>3.7999999999999999E-2</v>
      </c>
      <c r="D39" s="3">
        <f t="shared" si="8"/>
        <v>0</v>
      </c>
      <c r="F39" s="38">
        <f>F38+1</f>
        <v>38385</v>
      </c>
      <c r="G39" s="9">
        <v>0.77083333333333337</v>
      </c>
      <c r="H39" s="8">
        <v>15232</v>
      </c>
      <c r="I39" s="32">
        <f t="shared" ref="I39:I44" si="9">IF(AND(I38&lt;&gt;"",H39&lt;&gt;""),H39-H38,"")</f>
        <v>21</v>
      </c>
      <c r="J39" s="41">
        <f>J38+1</f>
        <v>38413</v>
      </c>
      <c r="K39" s="11">
        <v>0.77083333333333337</v>
      </c>
      <c r="L39" s="10">
        <v>15388</v>
      </c>
      <c r="M39" s="30">
        <f t="shared" ref="M39:M69" si="10">IF(AND(M38&lt;&gt;"",L39&lt;&gt;""),L39-L38,"")</f>
        <v>10</v>
      </c>
      <c r="N39" s="43">
        <f>N38+1</f>
        <v>38444</v>
      </c>
      <c r="O39" s="13">
        <v>0.77083333333333337</v>
      </c>
      <c r="P39" s="12">
        <v>15460</v>
      </c>
      <c r="Q39" s="23">
        <f t="shared" ref="Q39:Q67" si="11">IF(AND(Q38&lt;&gt;"",P39&lt;&gt;""),P39-P38,"")</f>
        <v>2</v>
      </c>
    </row>
    <row r="40" spans="1:17" x14ac:dyDescent="0.2">
      <c r="A40" s="1" t="s">
        <v>23</v>
      </c>
      <c r="B40" s="2">
        <v>0</v>
      </c>
      <c r="C40" s="3">
        <f>B46</f>
        <v>0.44552199999999997</v>
      </c>
      <c r="D40" s="3">
        <f t="shared" si="8"/>
        <v>0</v>
      </c>
      <c r="F40" s="38">
        <f t="shared" ref="F40:F62" si="12">F39+1</f>
        <v>38386</v>
      </c>
      <c r="G40" s="9">
        <v>0.77083333333333337</v>
      </c>
      <c r="H40" s="8">
        <v>15240</v>
      </c>
      <c r="I40" s="32">
        <f t="shared" si="9"/>
        <v>8</v>
      </c>
      <c r="J40" s="41">
        <f t="shared" ref="J40:J62" si="13">J39+1</f>
        <v>38414</v>
      </c>
      <c r="K40" s="11">
        <v>0.77083333333333337</v>
      </c>
      <c r="L40" s="10">
        <v>15392</v>
      </c>
      <c r="M40" s="30">
        <f t="shared" si="10"/>
        <v>4</v>
      </c>
      <c r="N40" s="43">
        <f t="shared" ref="N40:N67" si="14">N39+1</f>
        <v>38445</v>
      </c>
      <c r="O40" s="13">
        <v>0.77083333333333337</v>
      </c>
      <c r="P40" s="12">
        <v>15461</v>
      </c>
      <c r="Q40" s="23">
        <f t="shared" si="11"/>
        <v>1</v>
      </c>
    </row>
    <row r="41" spans="1:17" x14ac:dyDescent="0.2">
      <c r="A41" s="1" t="s">
        <v>16</v>
      </c>
      <c r="B41" s="2">
        <f>B32</f>
        <v>2</v>
      </c>
      <c r="C41" s="3">
        <f>B47</f>
        <v>0.44552199999999997</v>
      </c>
      <c r="D41" s="3">
        <f t="shared" si="8"/>
        <v>0.89104399999999995</v>
      </c>
      <c r="F41" s="38">
        <f t="shared" si="12"/>
        <v>38387</v>
      </c>
      <c r="G41" s="9">
        <v>0.77083333333333337</v>
      </c>
      <c r="H41" s="8">
        <v>15247</v>
      </c>
      <c r="I41" s="32">
        <f t="shared" si="9"/>
        <v>7</v>
      </c>
      <c r="J41" s="41">
        <f t="shared" si="13"/>
        <v>38415</v>
      </c>
      <c r="K41" s="11">
        <v>0.77083333333333337</v>
      </c>
      <c r="L41" s="10">
        <v>15397</v>
      </c>
      <c r="M41" s="30">
        <f t="shared" si="10"/>
        <v>5</v>
      </c>
      <c r="N41" s="43">
        <f t="shared" si="14"/>
        <v>38446</v>
      </c>
      <c r="O41" s="13" t="s">
        <v>25</v>
      </c>
      <c r="P41" s="12">
        <v>15461</v>
      </c>
      <c r="Q41" s="23">
        <f t="shared" si="11"/>
        <v>0</v>
      </c>
    </row>
    <row r="42" spans="1:17" x14ac:dyDescent="0.2">
      <c r="A42" s="1" t="s">
        <v>18</v>
      </c>
      <c r="B42" s="2">
        <v>0</v>
      </c>
      <c r="C42" s="29">
        <f>B48</f>
        <v>0.38367200000000001</v>
      </c>
      <c r="D42" s="3">
        <f t="shared" si="8"/>
        <v>0</v>
      </c>
      <c r="F42" s="38">
        <f t="shared" si="12"/>
        <v>38388</v>
      </c>
      <c r="G42" s="9">
        <v>0.77083333333333337</v>
      </c>
      <c r="H42" s="8">
        <v>15253</v>
      </c>
      <c r="I42" s="32">
        <f t="shared" si="9"/>
        <v>6</v>
      </c>
      <c r="J42" s="41">
        <f t="shared" si="13"/>
        <v>38416</v>
      </c>
      <c r="K42" s="11">
        <v>0.77083333333333337</v>
      </c>
      <c r="L42" s="10">
        <v>15401</v>
      </c>
      <c r="M42" s="30">
        <f t="shared" si="10"/>
        <v>4</v>
      </c>
      <c r="N42" s="43">
        <f t="shared" si="14"/>
        <v>38447</v>
      </c>
      <c r="O42" s="13" t="s">
        <v>26</v>
      </c>
      <c r="P42" s="12">
        <v>15461</v>
      </c>
      <c r="Q42" s="23">
        <f t="shared" si="11"/>
        <v>0</v>
      </c>
    </row>
    <row r="43" spans="1:17" x14ac:dyDescent="0.2">
      <c r="F43" s="38">
        <f t="shared" si="12"/>
        <v>38389</v>
      </c>
      <c r="G43" s="9">
        <v>0.77083333333333337</v>
      </c>
      <c r="H43" s="8">
        <v>15258</v>
      </c>
      <c r="I43" s="32">
        <f t="shared" si="9"/>
        <v>5</v>
      </c>
      <c r="J43" s="41">
        <f t="shared" si="13"/>
        <v>38417</v>
      </c>
      <c r="K43" s="11">
        <v>0.77083333333333337</v>
      </c>
      <c r="L43" s="10">
        <v>15406</v>
      </c>
      <c r="M43" s="30">
        <f t="shared" si="10"/>
        <v>5</v>
      </c>
      <c r="N43" s="43">
        <f t="shared" si="14"/>
        <v>38448</v>
      </c>
      <c r="O43" s="13">
        <v>0.77083333333333337</v>
      </c>
      <c r="P43" s="12">
        <v>15462</v>
      </c>
      <c r="Q43" s="23">
        <f t="shared" si="11"/>
        <v>1</v>
      </c>
    </row>
    <row r="44" spans="1:17" x14ac:dyDescent="0.2">
      <c r="A44" s="1" t="s">
        <v>51</v>
      </c>
      <c r="D44" s="7">
        <f>SUM(D35:D42)*1.1+SUM(D33:D34)</f>
        <v>1.1126499999999999</v>
      </c>
      <c r="F44" s="38">
        <f t="shared" si="12"/>
        <v>38390</v>
      </c>
      <c r="G44" s="9" t="s">
        <v>25</v>
      </c>
      <c r="H44" s="8">
        <v>15258</v>
      </c>
      <c r="I44" s="32">
        <f t="shared" si="9"/>
        <v>0</v>
      </c>
      <c r="J44" s="41">
        <f t="shared" si="13"/>
        <v>38418</v>
      </c>
      <c r="K44" s="11" t="s">
        <v>25</v>
      </c>
      <c r="L44" s="10">
        <v>15406</v>
      </c>
      <c r="M44" s="30">
        <f t="shared" si="10"/>
        <v>0</v>
      </c>
      <c r="N44" s="43">
        <f t="shared" si="14"/>
        <v>38449</v>
      </c>
      <c r="O44" s="13">
        <v>0.77083333333333337</v>
      </c>
      <c r="P44" s="12">
        <v>15462</v>
      </c>
      <c r="Q44" s="23">
        <f t="shared" si="11"/>
        <v>0</v>
      </c>
    </row>
    <row r="45" spans="1:17" x14ac:dyDescent="0.2">
      <c r="F45" s="38">
        <f t="shared" si="12"/>
        <v>38391</v>
      </c>
      <c r="G45" s="9" t="s">
        <v>26</v>
      </c>
      <c r="H45" s="8">
        <v>15258</v>
      </c>
      <c r="I45" s="32">
        <f t="shared" ref="I45:I62" si="15">IF(AND(I44&lt;&gt;"",H45&lt;&gt;""),H45-H44,"")</f>
        <v>0</v>
      </c>
      <c r="J45" s="41">
        <f t="shared" si="13"/>
        <v>38419</v>
      </c>
      <c r="K45" s="11" t="s">
        <v>26</v>
      </c>
      <c r="L45" s="10">
        <v>15406</v>
      </c>
      <c r="M45" s="30">
        <f t="shared" si="10"/>
        <v>0</v>
      </c>
      <c r="N45" s="43">
        <f t="shared" si="14"/>
        <v>38450</v>
      </c>
      <c r="O45" s="13">
        <v>0.77083333333333337</v>
      </c>
      <c r="P45" s="12">
        <v>15462</v>
      </c>
      <c r="Q45" s="23">
        <f t="shared" si="11"/>
        <v>0</v>
      </c>
    </row>
    <row r="46" spans="1:17" x14ac:dyDescent="0.2">
      <c r="A46" s="1" t="s">
        <v>23</v>
      </c>
      <c r="B46" s="26">
        <v>0.44552199999999997</v>
      </c>
      <c r="D46" s="26"/>
      <c r="F46" s="38">
        <f t="shared" si="12"/>
        <v>38392</v>
      </c>
      <c r="G46" s="9">
        <v>0.77083333333333337</v>
      </c>
      <c r="H46" s="8">
        <v>15271</v>
      </c>
      <c r="I46" s="32">
        <f t="shared" si="15"/>
        <v>13</v>
      </c>
      <c r="J46" s="41">
        <f t="shared" si="13"/>
        <v>38420</v>
      </c>
      <c r="K46" s="11">
        <v>0.77083333333333337</v>
      </c>
      <c r="L46" s="10">
        <v>15415</v>
      </c>
      <c r="M46" s="30">
        <f t="shared" si="10"/>
        <v>9</v>
      </c>
      <c r="N46" s="43">
        <f t="shared" si="14"/>
        <v>38451</v>
      </c>
      <c r="O46" s="13">
        <v>0.77083333333333337</v>
      </c>
      <c r="P46" s="12">
        <v>15463</v>
      </c>
      <c r="Q46" s="23">
        <f t="shared" si="11"/>
        <v>1</v>
      </c>
    </row>
    <row r="47" spans="1:17" x14ac:dyDescent="0.2">
      <c r="A47" s="1" t="s">
        <v>16</v>
      </c>
      <c r="B47" s="26">
        <v>0.44552199999999997</v>
      </c>
      <c r="F47" s="38">
        <f t="shared" si="12"/>
        <v>38393</v>
      </c>
      <c r="G47" s="9">
        <v>0.77083333333333337</v>
      </c>
      <c r="H47" s="8">
        <v>15276</v>
      </c>
      <c r="I47" s="32">
        <f t="shared" si="15"/>
        <v>5</v>
      </c>
      <c r="J47" s="41">
        <f t="shared" si="13"/>
        <v>38421</v>
      </c>
      <c r="K47" s="11">
        <v>0.77083333333333337</v>
      </c>
      <c r="L47" s="10">
        <v>15420</v>
      </c>
      <c r="M47" s="30">
        <f t="shared" si="10"/>
        <v>5</v>
      </c>
      <c r="N47" s="43">
        <f t="shared" si="14"/>
        <v>38452</v>
      </c>
      <c r="O47" s="13">
        <v>0.77083333333333337</v>
      </c>
      <c r="P47" s="12">
        <v>15463</v>
      </c>
      <c r="Q47" s="23">
        <f t="shared" si="11"/>
        <v>0</v>
      </c>
    </row>
    <row r="48" spans="1:17" x14ac:dyDescent="0.2">
      <c r="A48" s="1" t="s">
        <v>18</v>
      </c>
      <c r="B48" s="26">
        <v>0.38367200000000001</v>
      </c>
      <c r="F48" s="38">
        <f t="shared" si="12"/>
        <v>38394</v>
      </c>
      <c r="G48" s="9">
        <v>0.77083333333333337</v>
      </c>
      <c r="H48" s="8">
        <v>15282</v>
      </c>
      <c r="I48" s="32">
        <f t="shared" si="15"/>
        <v>6</v>
      </c>
      <c r="J48" s="41">
        <f t="shared" si="13"/>
        <v>38422</v>
      </c>
      <c r="K48" s="11">
        <v>0.77083333333333337</v>
      </c>
      <c r="L48" s="10">
        <v>15423</v>
      </c>
      <c r="M48" s="30">
        <f t="shared" si="10"/>
        <v>3</v>
      </c>
      <c r="N48" s="43">
        <f t="shared" si="14"/>
        <v>38453</v>
      </c>
      <c r="O48" s="13" t="s">
        <v>25</v>
      </c>
      <c r="P48" s="12">
        <v>15463</v>
      </c>
      <c r="Q48" s="23">
        <f t="shared" si="11"/>
        <v>0</v>
      </c>
    </row>
    <row r="49" spans="1:17" x14ac:dyDescent="0.2">
      <c r="F49" s="38">
        <f t="shared" si="12"/>
        <v>38395</v>
      </c>
      <c r="G49" s="9">
        <v>0.77083333333333337</v>
      </c>
      <c r="H49" s="8">
        <v>15288</v>
      </c>
      <c r="I49" s="32">
        <f t="shared" si="15"/>
        <v>6</v>
      </c>
      <c r="J49" s="41">
        <f t="shared" si="13"/>
        <v>38423</v>
      </c>
      <c r="K49" s="11">
        <v>0.77083333333333337</v>
      </c>
      <c r="L49" s="10">
        <v>15426</v>
      </c>
      <c r="M49" s="30">
        <f t="shared" si="10"/>
        <v>3</v>
      </c>
      <c r="N49" s="43">
        <f t="shared" si="14"/>
        <v>38454</v>
      </c>
      <c r="O49" s="13" t="s">
        <v>34</v>
      </c>
      <c r="P49" s="12">
        <v>15463</v>
      </c>
      <c r="Q49" s="23">
        <f t="shared" si="11"/>
        <v>0</v>
      </c>
    </row>
    <row r="50" spans="1:17" x14ac:dyDescent="0.2">
      <c r="A50" s="1" t="s">
        <v>75</v>
      </c>
      <c r="B50" s="26">
        <v>3.7999999999999999E-2</v>
      </c>
      <c r="F50" s="38">
        <f t="shared" si="12"/>
        <v>38396</v>
      </c>
      <c r="G50" s="9">
        <v>0.77083333333333337</v>
      </c>
      <c r="H50" s="8">
        <v>15294</v>
      </c>
      <c r="I50" s="32">
        <f t="shared" si="15"/>
        <v>6</v>
      </c>
      <c r="J50" s="41">
        <f t="shared" si="13"/>
        <v>38424</v>
      </c>
      <c r="K50" s="11">
        <v>0.77083333333333337</v>
      </c>
      <c r="L50" s="10">
        <v>15429</v>
      </c>
      <c r="M50" s="30">
        <f t="shared" si="10"/>
        <v>3</v>
      </c>
      <c r="N50" s="43">
        <f t="shared" si="14"/>
        <v>38455</v>
      </c>
      <c r="O50" s="13" t="s">
        <v>72</v>
      </c>
      <c r="P50" s="12">
        <v>15463</v>
      </c>
      <c r="Q50" s="23">
        <f t="shared" si="11"/>
        <v>0</v>
      </c>
    </row>
    <row r="51" spans="1:17" x14ac:dyDescent="0.2">
      <c r="A51" s="1" t="s">
        <v>55</v>
      </c>
      <c r="B51" s="26">
        <v>0.17100000000000001</v>
      </c>
      <c r="F51" s="38">
        <f t="shared" si="12"/>
        <v>38397</v>
      </c>
      <c r="G51" s="9" t="s">
        <v>25</v>
      </c>
      <c r="H51" s="8">
        <v>15294</v>
      </c>
      <c r="I51" s="32">
        <f t="shared" si="15"/>
        <v>0</v>
      </c>
      <c r="J51" s="41">
        <f t="shared" si="13"/>
        <v>38425</v>
      </c>
      <c r="K51" s="11" t="s">
        <v>25</v>
      </c>
      <c r="L51" s="10">
        <v>15429</v>
      </c>
      <c r="M51" s="30">
        <f t="shared" si="10"/>
        <v>0</v>
      </c>
      <c r="N51" s="43">
        <f t="shared" si="14"/>
        <v>38456</v>
      </c>
      <c r="O51" s="13">
        <v>0.77083333333333337</v>
      </c>
      <c r="P51" s="12">
        <v>15463</v>
      </c>
      <c r="Q51" s="23">
        <f t="shared" si="11"/>
        <v>0</v>
      </c>
    </row>
    <row r="52" spans="1:17" x14ac:dyDescent="0.2">
      <c r="A52" s="1" t="s">
        <v>76</v>
      </c>
      <c r="B52" s="26">
        <v>0.16600000000000001</v>
      </c>
      <c r="F52" s="38">
        <f t="shared" si="12"/>
        <v>38398</v>
      </c>
      <c r="G52" s="9" t="s">
        <v>26</v>
      </c>
      <c r="H52" s="8">
        <v>15294</v>
      </c>
      <c r="I52" s="32">
        <f t="shared" si="15"/>
        <v>0</v>
      </c>
      <c r="J52" s="41">
        <f t="shared" si="13"/>
        <v>38426</v>
      </c>
      <c r="K52" s="11" t="s">
        <v>26</v>
      </c>
      <c r="L52" s="10">
        <v>15429</v>
      </c>
      <c r="M52" s="30">
        <f t="shared" si="10"/>
        <v>0</v>
      </c>
      <c r="N52" s="43">
        <f t="shared" si="14"/>
        <v>38457</v>
      </c>
      <c r="O52" s="13">
        <v>0.77083333333333337</v>
      </c>
      <c r="P52" s="12">
        <v>15463</v>
      </c>
      <c r="Q52" s="23">
        <f t="shared" si="11"/>
        <v>0</v>
      </c>
    </row>
    <row r="53" spans="1:17" x14ac:dyDescent="0.2">
      <c r="F53" s="38">
        <f t="shared" si="12"/>
        <v>38399</v>
      </c>
      <c r="G53" s="9">
        <v>0.77083333333333337</v>
      </c>
      <c r="H53" s="8">
        <v>15312</v>
      </c>
      <c r="I53" s="32">
        <f t="shared" si="15"/>
        <v>18</v>
      </c>
      <c r="J53" s="41">
        <f t="shared" si="13"/>
        <v>38427</v>
      </c>
      <c r="K53" s="11">
        <v>0.77083333333333337</v>
      </c>
      <c r="L53" s="10">
        <v>15431</v>
      </c>
      <c r="M53" s="30">
        <f t="shared" si="10"/>
        <v>2</v>
      </c>
      <c r="N53" s="43">
        <f t="shared" si="14"/>
        <v>38458</v>
      </c>
      <c r="O53" s="13">
        <v>0.77083333333333337</v>
      </c>
      <c r="P53" s="12">
        <v>15463</v>
      </c>
      <c r="Q53" s="23">
        <f t="shared" si="11"/>
        <v>0</v>
      </c>
    </row>
    <row r="54" spans="1:17" x14ac:dyDescent="0.2">
      <c r="F54" s="38">
        <f t="shared" si="12"/>
        <v>38400</v>
      </c>
      <c r="G54" s="9">
        <v>0.77083333333333337</v>
      </c>
      <c r="H54" s="8">
        <v>15319</v>
      </c>
      <c r="I54" s="32">
        <f t="shared" si="15"/>
        <v>7</v>
      </c>
      <c r="J54" s="41">
        <f t="shared" si="13"/>
        <v>38428</v>
      </c>
      <c r="K54" s="11">
        <v>0.77083333333333337</v>
      </c>
      <c r="L54" s="10">
        <v>15433</v>
      </c>
      <c r="M54" s="30">
        <f t="shared" si="10"/>
        <v>2</v>
      </c>
      <c r="N54" s="43">
        <f t="shared" si="14"/>
        <v>38459</v>
      </c>
      <c r="O54" s="13">
        <v>0.77083333333333337</v>
      </c>
      <c r="P54" s="12">
        <v>15463</v>
      </c>
      <c r="Q54" s="23">
        <f t="shared" si="11"/>
        <v>0</v>
      </c>
    </row>
    <row r="55" spans="1:17" x14ac:dyDescent="0.2">
      <c r="F55" s="38">
        <f t="shared" si="12"/>
        <v>38401</v>
      </c>
      <c r="G55" s="9">
        <v>0.77083333333333337</v>
      </c>
      <c r="H55" s="8">
        <v>15324</v>
      </c>
      <c r="I55" s="32">
        <f t="shared" si="15"/>
        <v>5</v>
      </c>
      <c r="J55" s="41">
        <f t="shared" si="13"/>
        <v>38429</v>
      </c>
      <c r="K55" s="11">
        <v>0.77083333333333337</v>
      </c>
      <c r="L55" s="10">
        <v>15435</v>
      </c>
      <c r="M55" s="30">
        <f t="shared" si="10"/>
        <v>2</v>
      </c>
      <c r="N55" s="43">
        <f t="shared" si="14"/>
        <v>38460</v>
      </c>
      <c r="O55" s="13" t="s">
        <v>25</v>
      </c>
      <c r="P55" s="12">
        <v>15463</v>
      </c>
      <c r="Q55" s="23">
        <f t="shared" si="11"/>
        <v>0</v>
      </c>
    </row>
    <row r="56" spans="1:17" x14ac:dyDescent="0.2">
      <c r="F56" s="38">
        <f t="shared" si="12"/>
        <v>38402</v>
      </c>
      <c r="G56" s="9">
        <v>0.77083333333333337</v>
      </c>
      <c r="H56" s="8">
        <v>15331</v>
      </c>
      <c r="I56" s="32">
        <f t="shared" si="15"/>
        <v>7</v>
      </c>
      <c r="J56" s="41">
        <f t="shared" si="13"/>
        <v>38430</v>
      </c>
      <c r="K56" s="11">
        <v>0.77083333333333337</v>
      </c>
      <c r="L56" s="10">
        <v>15436</v>
      </c>
      <c r="M56" s="30">
        <f t="shared" si="10"/>
        <v>1</v>
      </c>
      <c r="N56" s="43">
        <f t="shared" si="14"/>
        <v>38461</v>
      </c>
      <c r="O56" s="13" t="s">
        <v>26</v>
      </c>
      <c r="P56" s="12">
        <v>15463</v>
      </c>
      <c r="Q56" s="23">
        <f t="shared" si="11"/>
        <v>0</v>
      </c>
    </row>
    <row r="57" spans="1:17" x14ac:dyDescent="0.2">
      <c r="F57" s="38">
        <f t="shared" si="12"/>
        <v>38403</v>
      </c>
      <c r="G57" s="9">
        <v>0.77083333333333337</v>
      </c>
      <c r="H57" s="8">
        <v>15339</v>
      </c>
      <c r="I57" s="32">
        <f t="shared" si="15"/>
        <v>8</v>
      </c>
      <c r="J57" s="41">
        <f t="shared" si="13"/>
        <v>38431</v>
      </c>
      <c r="K57" s="11">
        <v>0.77083333333333337</v>
      </c>
      <c r="L57" s="10">
        <v>15438</v>
      </c>
      <c r="M57" s="30">
        <f t="shared" si="10"/>
        <v>2</v>
      </c>
      <c r="N57" s="43">
        <f t="shared" si="14"/>
        <v>38462</v>
      </c>
      <c r="O57" s="13">
        <v>0.77083333333333337</v>
      </c>
      <c r="P57" s="12">
        <v>15464</v>
      </c>
      <c r="Q57" s="23">
        <f t="shared" si="11"/>
        <v>1</v>
      </c>
    </row>
    <row r="58" spans="1:17" x14ac:dyDescent="0.2">
      <c r="F58" s="38">
        <f t="shared" si="12"/>
        <v>38404</v>
      </c>
      <c r="G58" s="9" t="s">
        <v>25</v>
      </c>
      <c r="H58" s="8">
        <v>15339</v>
      </c>
      <c r="I58" s="32">
        <f t="shared" si="15"/>
        <v>0</v>
      </c>
      <c r="J58" s="41">
        <f t="shared" si="13"/>
        <v>38432</v>
      </c>
      <c r="K58" s="11" t="s">
        <v>25</v>
      </c>
      <c r="L58" s="10">
        <v>15438</v>
      </c>
      <c r="M58" s="30">
        <f t="shared" si="10"/>
        <v>0</v>
      </c>
      <c r="N58" s="43">
        <f t="shared" si="14"/>
        <v>38463</v>
      </c>
      <c r="O58" s="13">
        <v>0.77083333333333337</v>
      </c>
      <c r="P58" s="12">
        <v>15464</v>
      </c>
      <c r="Q58" s="23">
        <f t="shared" si="11"/>
        <v>0</v>
      </c>
    </row>
    <row r="59" spans="1:17" x14ac:dyDescent="0.2">
      <c r="F59" s="38">
        <f t="shared" si="12"/>
        <v>38405</v>
      </c>
      <c r="G59" s="9" t="s">
        <v>26</v>
      </c>
      <c r="H59" s="8">
        <v>15339</v>
      </c>
      <c r="I59" s="32">
        <f t="shared" si="15"/>
        <v>0</v>
      </c>
      <c r="J59" s="41">
        <f t="shared" si="13"/>
        <v>38433</v>
      </c>
      <c r="K59" s="11" t="s">
        <v>26</v>
      </c>
      <c r="L59" s="10">
        <v>15438</v>
      </c>
      <c r="M59" s="30">
        <f t="shared" si="10"/>
        <v>0</v>
      </c>
      <c r="N59" s="43">
        <f t="shared" si="14"/>
        <v>38464</v>
      </c>
      <c r="O59" s="13">
        <v>0.77083333333333337</v>
      </c>
      <c r="P59" s="12">
        <v>15464</v>
      </c>
      <c r="Q59" s="23">
        <f t="shared" si="11"/>
        <v>0</v>
      </c>
    </row>
    <row r="60" spans="1:17" x14ac:dyDescent="0.2">
      <c r="F60" s="38">
        <f t="shared" si="12"/>
        <v>38406</v>
      </c>
      <c r="G60" s="9">
        <v>0.77083333333333337</v>
      </c>
      <c r="H60" s="8">
        <v>15355</v>
      </c>
      <c r="I60" s="32">
        <f t="shared" si="15"/>
        <v>16</v>
      </c>
      <c r="J60" s="41">
        <f t="shared" si="13"/>
        <v>38434</v>
      </c>
      <c r="K60" s="11">
        <v>0.77083333333333337</v>
      </c>
      <c r="L60" s="10">
        <v>15442</v>
      </c>
      <c r="M60" s="30">
        <f t="shared" si="10"/>
        <v>4</v>
      </c>
      <c r="N60" s="43">
        <f t="shared" si="14"/>
        <v>38465</v>
      </c>
      <c r="O60" s="13">
        <v>0.77083333333333337</v>
      </c>
      <c r="P60" s="12">
        <v>15464</v>
      </c>
      <c r="Q60" s="23">
        <f t="shared" si="11"/>
        <v>0</v>
      </c>
    </row>
    <row r="61" spans="1:17" x14ac:dyDescent="0.2">
      <c r="F61" s="38">
        <f t="shared" si="12"/>
        <v>38407</v>
      </c>
      <c r="G61" s="9">
        <v>0.77083333333333337</v>
      </c>
      <c r="H61" s="8">
        <v>15362</v>
      </c>
      <c r="I61" s="32">
        <f t="shared" si="15"/>
        <v>7</v>
      </c>
      <c r="J61" s="41">
        <f t="shared" si="13"/>
        <v>38435</v>
      </c>
      <c r="K61" s="11">
        <v>0.77083333333333337</v>
      </c>
      <c r="L61" s="10">
        <v>15445</v>
      </c>
      <c r="M61" s="30">
        <f t="shared" si="10"/>
        <v>3</v>
      </c>
      <c r="N61" s="43">
        <f t="shared" si="14"/>
        <v>38466</v>
      </c>
      <c r="O61" s="13">
        <v>0.77083333333333337</v>
      </c>
      <c r="P61" s="12">
        <v>15464</v>
      </c>
      <c r="Q61" s="23">
        <f t="shared" si="11"/>
        <v>0</v>
      </c>
    </row>
    <row r="62" spans="1:17" x14ac:dyDescent="0.2">
      <c r="F62" s="38">
        <f t="shared" si="12"/>
        <v>38408</v>
      </c>
      <c r="G62" s="9">
        <v>0.77083333333333337</v>
      </c>
      <c r="H62" s="8">
        <v>15367</v>
      </c>
      <c r="I62" s="32">
        <f t="shared" si="15"/>
        <v>5</v>
      </c>
      <c r="J62" s="41">
        <f t="shared" si="13"/>
        <v>38436</v>
      </c>
      <c r="K62" s="11">
        <v>0.77083333333333337</v>
      </c>
      <c r="L62" s="10">
        <v>15447</v>
      </c>
      <c r="M62" s="30">
        <f t="shared" si="10"/>
        <v>2</v>
      </c>
      <c r="N62" s="43">
        <f t="shared" si="14"/>
        <v>38467</v>
      </c>
      <c r="O62" s="12" t="s">
        <v>25</v>
      </c>
      <c r="P62" s="12">
        <v>15464</v>
      </c>
      <c r="Q62" s="23">
        <f t="shared" si="11"/>
        <v>0</v>
      </c>
    </row>
    <row r="63" spans="1:17" x14ac:dyDescent="0.2">
      <c r="F63" s="38">
        <v>38774</v>
      </c>
      <c r="G63" s="9">
        <v>0.77083333333333337</v>
      </c>
      <c r="H63" s="8">
        <v>15373</v>
      </c>
      <c r="I63" s="32">
        <f>IF(AND(I62&lt;&gt;"",H63&lt;&gt;""),H63-H62,"")</f>
        <v>6</v>
      </c>
      <c r="J63" s="41">
        <v>38802</v>
      </c>
      <c r="K63" s="11">
        <v>0.77083333333333337</v>
      </c>
      <c r="L63" s="10">
        <v>15449</v>
      </c>
      <c r="M63" s="30">
        <f t="shared" ref="M63:M68" si="16">IF(AND(M62&lt;&gt;"",L63&lt;&gt;""),L63-L62,"")</f>
        <v>2</v>
      </c>
      <c r="N63" s="43">
        <f t="shared" si="14"/>
        <v>38468</v>
      </c>
      <c r="O63" s="12" t="s">
        <v>26</v>
      </c>
      <c r="P63" s="12">
        <v>15464</v>
      </c>
      <c r="Q63" s="23">
        <f t="shared" si="11"/>
        <v>0</v>
      </c>
    </row>
    <row r="64" spans="1:17" x14ac:dyDescent="0.2">
      <c r="F64" s="38">
        <v>38775</v>
      </c>
      <c r="G64" s="9">
        <v>0.77083333333333337</v>
      </c>
      <c r="H64" s="8">
        <v>15378</v>
      </c>
      <c r="I64" s="32">
        <f>IF(AND(I63&lt;&gt;"",H64&lt;&gt;""),H64-H63,"")</f>
        <v>5</v>
      </c>
      <c r="J64" s="41">
        <v>38803</v>
      </c>
      <c r="K64" s="11">
        <v>0.77083333333333337</v>
      </c>
      <c r="L64" s="10">
        <v>15451</v>
      </c>
      <c r="M64" s="30">
        <f t="shared" si="16"/>
        <v>2</v>
      </c>
      <c r="N64" s="43">
        <f t="shared" si="14"/>
        <v>38469</v>
      </c>
      <c r="O64" s="13">
        <v>0.77083333333333337</v>
      </c>
      <c r="P64" s="12">
        <v>15464</v>
      </c>
      <c r="Q64" s="23">
        <f t="shared" si="11"/>
        <v>0</v>
      </c>
    </row>
    <row r="65" spans="6:17" x14ac:dyDescent="0.2">
      <c r="F65" s="38">
        <v>38776</v>
      </c>
      <c r="G65" s="9" t="s">
        <v>25</v>
      </c>
      <c r="H65" s="8">
        <v>15378</v>
      </c>
      <c r="I65" s="32">
        <f>IF(AND(I64&lt;&gt;"",H65&lt;&gt;""),H65-H64,"")</f>
        <v>0</v>
      </c>
      <c r="J65" s="41">
        <v>38804</v>
      </c>
      <c r="K65" s="11" t="s">
        <v>25</v>
      </c>
      <c r="L65" s="10">
        <v>15451</v>
      </c>
      <c r="M65" s="30">
        <f t="shared" si="16"/>
        <v>0</v>
      </c>
      <c r="N65" s="43">
        <f t="shared" si="14"/>
        <v>38470</v>
      </c>
      <c r="O65" s="13">
        <v>0.77083333333333337</v>
      </c>
      <c r="P65" s="12">
        <v>15464</v>
      </c>
      <c r="Q65" s="23">
        <f t="shared" si="11"/>
        <v>0</v>
      </c>
    </row>
    <row r="66" spans="6:17" x14ac:dyDescent="0.2">
      <c r="F66" s="38"/>
      <c r="G66" s="8"/>
      <c r="H66" s="8"/>
      <c r="I66" s="32" t="str">
        <f>IF(AND(I65&lt;&gt;"",H66&lt;&gt;""),H66-H65,"")</f>
        <v/>
      </c>
      <c r="J66" s="41">
        <v>38805</v>
      </c>
      <c r="K66" s="11" t="s">
        <v>26</v>
      </c>
      <c r="L66" s="10">
        <v>15451</v>
      </c>
      <c r="M66" s="30">
        <f t="shared" si="16"/>
        <v>0</v>
      </c>
      <c r="N66" s="43">
        <f t="shared" si="14"/>
        <v>38471</v>
      </c>
      <c r="O66" s="13">
        <v>0.77083333333333337</v>
      </c>
      <c r="P66" s="12">
        <v>15465</v>
      </c>
      <c r="Q66" s="23">
        <f t="shared" si="11"/>
        <v>1</v>
      </c>
    </row>
    <row r="67" spans="6:17" x14ac:dyDescent="0.2">
      <c r="F67" s="38"/>
      <c r="G67" s="8"/>
      <c r="H67" s="8"/>
      <c r="I67" s="32" t="str">
        <f>IF(AND(I61&lt;&gt;"",H67&lt;&gt;""),H67-H61,"")</f>
        <v/>
      </c>
      <c r="J67" s="41">
        <v>38806</v>
      </c>
      <c r="K67" s="11">
        <v>0.77083333333333337</v>
      </c>
      <c r="L67" s="10">
        <v>15453</v>
      </c>
      <c r="M67" s="30">
        <f t="shared" si="16"/>
        <v>2</v>
      </c>
      <c r="N67" s="43">
        <f t="shared" si="14"/>
        <v>38472</v>
      </c>
      <c r="O67" s="13">
        <v>0.77083333333333337</v>
      </c>
      <c r="P67" s="12">
        <v>15465</v>
      </c>
      <c r="Q67" s="23">
        <f t="shared" si="11"/>
        <v>0</v>
      </c>
    </row>
    <row r="68" spans="6:17" x14ac:dyDescent="0.2">
      <c r="F68" s="38"/>
      <c r="G68" s="8"/>
      <c r="H68" s="8"/>
      <c r="I68" s="32" t="str">
        <f>IF(AND(I62&lt;&gt;"",H68&lt;&gt;""),H68-H62,"")</f>
        <v/>
      </c>
      <c r="J68" s="41">
        <v>38807</v>
      </c>
      <c r="K68" s="11">
        <v>0.77083333333333337</v>
      </c>
      <c r="L68" s="10">
        <v>15456</v>
      </c>
      <c r="M68" s="30">
        <f t="shared" si="16"/>
        <v>3</v>
      </c>
      <c r="N68" s="43"/>
      <c r="O68" s="12"/>
      <c r="P68" s="12"/>
      <c r="Q68" s="23" t="str">
        <f>IF(AND(Q62&lt;&gt;"",P68&lt;&gt;""),P68-P62,"")</f>
        <v/>
      </c>
    </row>
    <row r="69" spans="6:17" ht="13.5" thickBot="1" x14ac:dyDescent="0.25">
      <c r="F69" s="39"/>
      <c r="G69" s="25"/>
      <c r="H69" s="16"/>
      <c r="I69" s="33" t="str">
        <f>IF(AND(I68&lt;&gt;"",H69&lt;&gt;""),H69-H68,"")</f>
        <v/>
      </c>
      <c r="J69" s="42"/>
      <c r="K69" s="28"/>
      <c r="L69" s="17"/>
      <c r="M69" s="31" t="str">
        <f t="shared" si="10"/>
        <v/>
      </c>
      <c r="N69" s="44"/>
      <c r="O69" s="18"/>
      <c r="P69" s="18"/>
      <c r="Q69" s="24" t="str">
        <f>IF(AND(Q68&lt;&gt;"",P69&lt;&gt;""),P69-P68,"")</f>
        <v/>
      </c>
    </row>
    <row r="70" spans="6:17" ht="13.5" thickTop="1" x14ac:dyDescent="0.2"/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D11" sqref="D11"/>
    </sheetView>
  </sheetViews>
  <sheetFormatPr defaultRowHeight="12.75" x14ac:dyDescent="0.2"/>
  <cols>
    <col min="1" max="1" width="25" style="1" bestFit="1" customWidth="1"/>
    <col min="2" max="2" width="9.42578125" style="2" bestFit="1" customWidth="1"/>
    <col min="3" max="3" width="6.5703125" style="3" bestFit="1" customWidth="1"/>
    <col min="4" max="4" width="8.140625" style="3" bestFit="1" customWidth="1"/>
    <col min="5" max="5" width="4.7109375" style="14" customWidth="1"/>
    <col min="6" max="6" width="9.28515625" style="36" bestFit="1" customWidth="1"/>
    <col min="7" max="7" width="5.7109375" style="1" bestFit="1" customWidth="1"/>
    <col min="8" max="8" width="7" style="1" bestFit="1" customWidth="1"/>
    <col min="9" max="9" width="7" style="15" bestFit="1" customWidth="1"/>
    <col min="10" max="10" width="8.42578125" style="40" bestFit="1" customWidth="1"/>
    <col min="11" max="11" width="5.5703125" style="34" bestFit="1" customWidth="1"/>
    <col min="12" max="12" width="6.7109375" style="56" bestFit="1" customWidth="1"/>
    <col min="13" max="13" width="6.85546875" style="14" bestFit="1" customWidth="1"/>
    <col min="14" max="14" width="8.140625" style="40" bestFit="1" customWidth="1"/>
    <col min="15" max="15" width="5.5703125" style="14" bestFit="1" customWidth="1"/>
    <col min="16" max="16" width="6.7109375" style="14" bestFit="1" customWidth="1"/>
    <col min="17" max="17" width="8" style="14" bestFit="1" customWidth="1"/>
    <col min="18" max="16384" width="9.140625" style="14"/>
  </cols>
  <sheetData>
    <row r="1" spans="1:17" ht="13.5" thickBot="1" x14ac:dyDescent="0.25"/>
    <row r="2" spans="1:17" ht="13.5" thickTop="1" x14ac:dyDescent="0.2">
      <c r="A2" s="1" t="s">
        <v>24</v>
      </c>
      <c r="B2" s="55">
        <f>D44</f>
        <v>44.857512</v>
      </c>
      <c r="F2" s="37" t="s">
        <v>19</v>
      </c>
      <c r="G2" s="19" t="s">
        <v>10</v>
      </c>
      <c r="H2" s="19" t="s">
        <v>9</v>
      </c>
      <c r="I2" s="47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F3" s="38"/>
      <c r="G3" s="8"/>
      <c r="H3" s="8"/>
      <c r="I3" s="32"/>
      <c r="J3" s="46"/>
      <c r="K3" s="11"/>
      <c r="L3" s="10"/>
      <c r="M3" s="30"/>
      <c r="N3" s="49"/>
      <c r="O3" s="12"/>
      <c r="P3" s="12"/>
      <c r="Q3" s="23"/>
    </row>
    <row r="4" spans="1:17" x14ac:dyDescent="0.2">
      <c r="F4" s="38">
        <v>39387</v>
      </c>
      <c r="G4" s="61" t="s">
        <v>44</v>
      </c>
      <c r="H4" s="8">
        <v>13965</v>
      </c>
      <c r="I4" s="60">
        <f>H4-B14</f>
        <v>13965</v>
      </c>
      <c r="J4" s="46">
        <v>38687</v>
      </c>
      <c r="K4" s="11" t="s">
        <v>25</v>
      </c>
      <c r="L4" s="10">
        <v>14019</v>
      </c>
      <c r="M4" s="30">
        <f>IF(AND(I35&lt;&gt;"",L4&lt;&gt;""),L4-L3,L4-MAX(H4:H35))</f>
        <v>0</v>
      </c>
      <c r="N4" s="43">
        <v>38353</v>
      </c>
      <c r="O4" s="13" t="s">
        <v>33</v>
      </c>
      <c r="P4" s="12">
        <v>14145</v>
      </c>
      <c r="Q4" s="23">
        <f>IF(AND(M35&lt;&gt;"",P4&lt;&gt;""),P4-P3,P4-MAX(L4:L34))</f>
        <v>0</v>
      </c>
    </row>
    <row r="5" spans="1:17" x14ac:dyDescent="0.2">
      <c r="A5" s="1" t="s">
        <v>41</v>
      </c>
      <c r="B5" s="26">
        <v>88.27</v>
      </c>
      <c r="F5" s="38">
        <f>F4+1</f>
        <v>39388</v>
      </c>
      <c r="G5" s="9">
        <v>0.77083333333333337</v>
      </c>
      <c r="H5" s="8">
        <v>14004</v>
      </c>
      <c r="I5" s="32">
        <f t="shared" ref="I5:I35" si="0">IF(AND(I4&lt;&gt;"",H5&lt;&gt;""),H5-H4,"")</f>
        <v>39</v>
      </c>
      <c r="J5" s="41">
        <f>J4+1</f>
        <v>38688</v>
      </c>
      <c r="K5" s="11" t="s">
        <v>26</v>
      </c>
      <c r="L5" s="10">
        <v>14019</v>
      </c>
      <c r="M5" s="30">
        <f>IF(AND(M4&lt;&gt;"",L5&lt;&gt;""),L5-L4,"")</f>
        <v>0</v>
      </c>
      <c r="N5" s="43">
        <f>N4+1</f>
        <v>38354</v>
      </c>
      <c r="O5" s="13">
        <v>0.77083333333333337</v>
      </c>
      <c r="P5" s="12">
        <v>14193</v>
      </c>
      <c r="Q5" s="23">
        <f>IF(AND(Q4&lt;&gt;"",P5&lt;&gt;""),P5-P4,"")</f>
        <v>48</v>
      </c>
    </row>
    <row r="6" spans="1:17" x14ac:dyDescent="0.2">
      <c r="A6" s="1" t="s">
        <v>48</v>
      </c>
      <c r="B6" s="26">
        <v>0</v>
      </c>
      <c r="F6" s="38">
        <f t="shared" ref="F6:F33" si="1">F5+1</f>
        <v>39389</v>
      </c>
      <c r="G6" s="9" t="s">
        <v>25</v>
      </c>
      <c r="H6" s="8">
        <v>14004</v>
      </c>
      <c r="I6" s="32">
        <f t="shared" si="0"/>
        <v>0</v>
      </c>
      <c r="J6" s="41">
        <f t="shared" ref="J6:J29" si="2">J5+1</f>
        <v>38689</v>
      </c>
      <c r="K6" s="11" t="s">
        <v>45</v>
      </c>
      <c r="L6" s="10">
        <v>14019</v>
      </c>
      <c r="M6" s="30">
        <f>IF(AND(M5&lt;&gt;"",L6&lt;&gt;""),L6-L5,"")</f>
        <v>0</v>
      </c>
      <c r="N6" s="43">
        <f t="shared" ref="N6:N29" si="3">N5+1</f>
        <v>38355</v>
      </c>
      <c r="O6" s="13">
        <v>0.77083333333333337</v>
      </c>
      <c r="P6" s="12">
        <v>14202</v>
      </c>
      <c r="Q6" s="23">
        <f t="shared" ref="Q6:Q29" si="4">IF(AND(Q5&lt;&gt;"",P6&lt;&gt;""),P6-P5,"")</f>
        <v>9</v>
      </c>
    </row>
    <row r="7" spans="1:17" x14ac:dyDescent="0.2">
      <c r="A7" s="1" t="s">
        <v>50</v>
      </c>
      <c r="B7" s="26">
        <v>156.62</v>
      </c>
      <c r="F7" s="38">
        <f t="shared" si="1"/>
        <v>39390</v>
      </c>
      <c r="G7" s="9" t="s">
        <v>26</v>
      </c>
      <c r="H7" s="8">
        <v>14004</v>
      </c>
      <c r="I7" s="32">
        <f>IF(AND(I6&lt;&gt;"",H7&lt;&gt;""),H7-H6,"")</f>
        <v>0</v>
      </c>
      <c r="J7" s="41">
        <f t="shared" si="2"/>
        <v>38690</v>
      </c>
      <c r="K7" s="11" t="s">
        <v>46</v>
      </c>
      <c r="L7" s="10">
        <v>14019</v>
      </c>
      <c r="M7" s="30">
        <f>IF(AND(M6&lt;&gt;"",L7&lt;&gt;""),L7-L6,"")</f>
        <v>0</v>
      </c>
      <c r="N7" s="43">
        <f t="shared" si="3"/>
        <v>38356</v>
      </c>
      <c r="O7" s="13">
        <v>0.77083333333333337</v>
      </c>
      <c r="P7" s="12">
        <v>14212</v>
      </c>
      <c r="Q7" s="23">
        <f t="shared" si="4"/>
        <v>10</v>
      </c>
    </row>
    <row r="8" spans="1:17" x14ac:dyDescent="0.2">
      <c r="A8" s="1" t="s">
        <v>57</v>
      </c>
      <c r="B8" s="26">
        <v>138.28</v>
      </c>
      <c r="F8" s="38">
        <f t="shared" si="1"/>
        <v>39391</v>
      </c>
      <c r="G8" s="9">
        <v>0.77083333333333337</v>
      </c>
      <c r="H8" s="8">
        <v>14010</v>
      </c>
      <c r="I8" s="32">
        <f>IF(AND(I7&lt;&gt;"",H8&lt;&gt;""),H8-H7,"")</f>
        <v>6</v>
      </c>
      <c r="J8" s="41">
        <f t="shared" si="2"/>
        <v>38691</v>
      </c>
      <c r="K8" s="11" t="s">
        <v>47</v>
      </c>
      <c r="L8" s="10">
        <v>14019</v>
      </c>
      <c r="M8" s="30">
        <f>IF(AND(M7&lt;&gt;"",L8&lt;&gt;""),L8-L7,"")</f>
        <v>0</v>
      </c>
      <c r="N8" s="43">
        <f t="shared" si="3"/>
        <v>38357</v>
      </c>
      <c r="O8" s="13" t="s">
        <v>25</v>
      </c>
      <c r="P8" s="12">
        <v>14212</v>
      </c>
      <c r="Q8" s="23">
        <f t="shared" si="4"/>
        <v>0</v>
      </c>
    </row>
    <row r="9" spans="1:17" x14ac:dyDescent="0.2">
      <c r="A9" s="1" t="s">
        <v>61</v>
      </c>
      <c r="B9" s="26">
        <v>48.65</v>
      </c>
      <c r="F9" s="38">
        <f t="shared" si="1"/>
        <v>39392</v>
      </c>
      <c r="G9" s="9">
        <v>0.77083333333333337</v>
      </c>
      <c r="H9" s="8">
        <v>14012</v>
      </c>
      <c r="I9" s="32">
        <f>IF(AND(I8&lt;&gt;"",H9&lt;&gt;""),H9-H8,"")</f>
        <v>2</v>
      </c>
      <c r="J9" s="41">
        <f t="shared" si="2"/>
        <v>38692</v>
      </c>
      <c r="K9" s="11" t="s">
        <v>49</v>
      </c>
      <c r="L9" s="10">
        <v>14019</v>
      </c>
      <c r="M9" s="30">
        <f>IF(AND(M8&lt;&gt;"",L9&lt;&gt;""),L9-L8,"")</f>
        <v>0</v>
      </c>
      <c r="N9" s="43">
        <f t="shared" si="3"/>
        <v>38358</v>
      </c>
      <c r="O9" s="13" t="s">
        <v>26</v>
      </c>
      <c r="P9" s="12">
        <v>14212</v>
      </c>
      <c r="Q9" s="23">
        <f t="shared" si="4"/>
        <v>0</v>
      </c>
    </row>
    <row r="10" spans="1:17" x14ac:dyDescent="0.2">
      <c r="B10" s="26"/>
      <c r="F10" s="38">
        <f t="shared" si="1"/>
        <v>39393</v>
      </c>
      <c r="G10" s="9">
        <v>0.77083333333333337</v>
      </c>
      <c r="H10" s="8">
        <v>14015</v>
      </c>
      <c r="I10" s="32">
        <f t="shared" si="0"/>
        <v>3</v>
      </c>
      <c r="J10" s="41">
        <f t="shared" si="2"/>
        <v>38693</v>
      </c>
      <c r="K10" s="11" t="s">
        <v>30</v>
      </c>
      <c r="L10" s="10">
        <v>14019</v>
      </c>
      <c r="M10" s="30">
        <f t="shared" ref="M10:M29" si="5">IF(AND(M9&lt;&gt;"",L10&lt;&gt;""),L10-L9,"")</f>
        <v>0</v>
      </c>
      <c r="N10" s="43">
        <f t="shared" si="3"/>
        <v>38359</v>
      </c>
      <c r="O10" s="13">
        <v>0.77083333333333337</v>
      </c>
      <c r="P10" s="12">
        <v>14235</v>
      </c>
      <c r="Q10" s="23">
        <f t="shared" si="4"/>
        <v>23</v>
      </c>
    </row>
    <row r="11" spans="1:17" x14ac:dyDescent="0.2">
      <c r="A11" s="63" t="s">
        <v>39</v>
      </c>
      <c r="B11" s="64">
        <f>SUM(B5:B9)</f>
        <v>431.81999999999994</v>
      </c>
      <c r="F11" s="38">
        <f t="shared" si="1"/>
        <v>39394</v>
      </c>
      <c r="G11" s="9">
        <v>0.77083333333333337</v>
      </c>
      <c r="H11" s="8">
        <v>14018</v>
      </c>
      <c r="I11" s="32">
        <f t="shared" si="0"/>
        <v>3</v>
      </c>
      <c r="J11" s="41">
        <f t="shared" si="2"/>
        <v>38694</v>
      </c>
      <c r="K11" s="11" t="s">
        <v>25</v>
      </c>
      <c r="L11" s="10">
        <v>14019</v>
      </c>
      <c r="M11" s="30">
        <f t="shared" si="5"/>
        <v>0</v>
      </c>
      <c r="N11" s="43">
        <f t="shared" si="3"/>
        <v>38360</v>
      </c>
      <c r="O11" s="13">
        <v>0.77083333333333337</v>
      </c>
      <c r="P11" s="12">
        <v>14243</v>
      </c>
      <c r="Q11" s="23">
        <f t="shared" si="4"/>
        <v>8</v>
      </c>
    </row>
    <row r="12" spans="1:17" x14ac:dyDescent="0.2">
      <c r="A12" s="1" t="s">
        <v>65</v>
      </c>
      <c r="B12" s="62">
        <f>(MAX(P38,P67)-MIN(H4,H33))</f>
        <v>680</v>
      </c>
      <c r="F12" s="38">
        <f t="shared" si="1"/>
        <v>39395</v>
      </c>
      <c r="G12" s="9">
        <v>0.77083333333333337</v>
      </c>
      <c r="H12" s="8">
        <v>14019</v>
      </c>
      <c r="I12" s="32">
        <f t="shared" si="0"/>
        <v>1</v>
      </c>
      <c r="J12" s="41">
        <f t="shared" si="2"/>
        <v>38695</v>
      </c>
      <c r="K12" s="11" t="s">
        <v>26</v>
      </c>
      <c r="L12" s="10">
        <v>14019</v>
      </c>
      <c r="M12" s="30">
        <f t="shared" si="5"/>
        <v>0</v>
      </c>
      <c r="N12" s="43">
        <f t="shared" si="3"/>
        <v>38361</v>
      </c>
      <c r="O12" s="13">
        <v>0.77083333333333337</v>
      </c>
      <c r="P12" s="12">
        <v>14253</v>
      </c>
      <c r="Q12" s="23">
        <f t="shared" si="4"/>
        <v>10</v>
      </c>
    </row>
    <row r="13" spans="1:17" x14ac:dyDescent="0.2">
      <c r="F13" s="38">
        <f t="shared" si="1"/>
        <v>39396</v>
      </c>
      <c r="G13" s="9" t="s">
        <v>25</v>
      </c>
      <c r="H13" s="8">
        <v>14019</v>
      </c>
      <c r="I13" s="32">
        <f t="shared" si="0"/>
        <v>0</v>
      </c>
      <c r="J13" s="41">
        <f t="shared" si="2"/>
        <v>38696</v>
      </c>
      <c r="K13" s="11" t="s">
        <v>45</v>
      </c>
      <c r="L13" s="10">
        <v>14019</v>
      </c>
      <c r="M13" s="30">
        <f t="shared" si="5"/>
        <v>0</v>
      </c>
      <c r="N13" s="43">
        <f t="shared" si="3"/>
        <v>38362</v>
      </c>
      <c r="O13" s="13">
        <v>0.77083333333333337</v>
      </c>
      <c r="P13" s="12">
        <v>14260</v>
      </c>
      <c r="Q13" s="23">
        <f>IF(AND(Q12&lt;&gt;"",P13&lt;&gt;""),P13-P12,"")</f>
        <v>7</v>
      </c>
    </row>
    <row r="14" spans="1:17" x14ac:dyDescent="0.2">
      <c r="F14" s="38">
        <f t="shared" si="1"/>
        <v>39397</v>
      </c>
      <c r="G14" s="9" t="s">
        <v>26</v>
      </c>
      <c r="H14" s="8">
        <v>14019</v>
      </c>
      <c r="I14" s="32">
        <f t="shared" si="0"/>
        <v>0</v>
      </c>
      <c r="J14" s="41">
        <f t="shared" si="2"/>
        <v>38697</v>
      </c>
      <c r="K14" s="11" t="s">
        <v>46</v>
      </c>
      <c r="L14" s="10">
        <v>14019</v>
      </c>
      <c r="M14" s="30">
        <f t="shared" si="5"/>
        <v>0</v>
      </c>
      <c r="N14" s="43">
        <f t="shared" si="3"/>
        <v>38363</v>
      </c>
      <c r="O14" s="13">
        <v>0.77083333333333337</v>
      </c>
      <c r="P14" s="12">
        <v>14267</v>
      </c>
      <c r="Q14" s="23">
        <f t="shared" si="4"/>
        <v>7</v>
      </c>
    </row>
    <row r="15" spans="1:17" x14ac:dyDescent="0.2">
      <c r="A15" s="1" t="s">
        <v>62</v>
      </c>
      <c r="B15" s="2">
        <v>14645</v>
      </c>
      <c r="F15" s="38">
        <f t="shared" si="1"/>
        <v>39398</v>
      </c>
      <c r="G15" s="9" t="s">
        <v>45</v>
      </c>
      <c r="H15" s="8">
        <v>14019</v>
      </c>
      <c r="I15" s="32">
        <f t="shared" si="0"/>
        <v>0</v>
      </c>
      <c r="J15" s="41">
        <f t="shared" si="2"/>
        <v>38698</v>
      </c>
      <c r="K15" s="11">
        <v>0.77083333333333337</v>
      </c>
      <c r="L15" s="10">
        <v>14023</v>
      </c>
      <c r="M15" s="30">
        <f t="shared" si="5"/>
        <v>4</v>
      </c>
      <c r="N15" s="43">
        <f t="shared" si="3"/>
        <v>38364</v>
      </c>
      <c r="O15" s="13" t="s">
        <v>25</v>
      </c>
      <c r="P15" s="12">
        <v>14267</v>
      </c>
      <c r="Q15" s="23">
        <f t="shared" si="4"/>
        <v>0</v>
      </c>
    </row>
    <row r="16" spans="1:17" x14ac:dyDescent="0.2">
      <c r="F16" s="38">
        <f t="shared" si="1"/>
        <v>39399</v>
      </c>
      <c r="G16" s="9" t="s">
        <v>46</v>
      </c>
      <c r="H16" s="8">
        <v>14019</v>
      </c>
      <c r="I16" s="32">
        <f t="shared" si="0"/>
        <v>0</v>
      </c>
      <c r="J16" s="41">
        <f t="shared" si="2"/>
        <v>38699</v>
      </c>
      <c r="K16" s="11">
        <v>0.77083333333333337</v>
      </c>
      <c r="L16" s="10">
        <v>14033</v>
      </c>
      <c r="M16" s="30">
        <f t="shared" si="5"/>
        <v>10</v>
      </c>
      <c r="N16" s="43">
        <f t="shared" si="3"/>
        <v>38365</v>
      </c>
      <c r="O16" s="13" t="s">
        <v>26</v>
      </c>
      <c r="P16" s="12">
        <v>14267</v>
      </c>
      <c r="Q16" s="23">
        <f t="shared" si="4"/>
        <v>0</v>
      </c>
    </row>
    <row r="17" spans="1:17" x14ac:dyDescent="0.2">
      <c r="F17" s="38">
        <f t="shared" si="1"/>
        <v>39400</v>
      </c>
      <c r="G17" s="9" t="s">
        <v>47</v>
      </c>
      <c r="H17" s="8">
        <v>14019</v>
      </c>
      <c r="I17" s="32">
        <f t="shared" si="0"/>
        <v>0</v>
      </c>
      <c r="J17" s="41">
        <f t="shared" si="2"/>
        <v>38700</v>
      </c>
      <c r="K17" s="11">
        <v>0.77083333333333337</v>
      </c>
      <c r="L17" s="10">
        <v>14042</v>
      </c>
      <c r="M17" s="30">
        <f t="shared" si="5"/>
        <v>9</v>
      </c>
      <c r="N17" s="43">
        <f t="shared" si="3"/>
        <v>38366</v>
      </c>
      <c r="O17" s="13">
        <v>0.77083333333333337</v>
      </c>
      <c r="P17" s="12">
        <v>14285</v>
      </c>
      <c r="Q17" s="23">
        <f t="shared" si="4"/>
        <v>18</v>
      </c>
    </row>
    <row r="18" spans="1:17" x14ac:dyDescent="0.2">
      <c r="A18" s="1" t="s">
        <v>58</v>
      </c>
      <c r="B18" s="2">
        <v>14585</v>
      </c>
      <c r="F18" s="38">
        <f t="shared" si="1"/>
        <v>39401</v>
      </c>
      <c r="G18" s="9" t="s">
        <v>49</v>
      </c>
      <c r="H18" s="8">
        <v>14019</v>
      </c>
      <c r="I18" s="32">
        <f t="shared" si="0"/>
        <v>0</v>
      </c>
      <c r="J18" s="41">
        <f t="shared" si="2"/>
        <v>38701</v>
      </c>
      <c r="K18" s="11" t="s">
        <v>25</v>
      </c>
      <c r="L18" s="10">
        <v>14042</v>
      </c>
      <c r="M18" s="30">
        <f t="shared" si="5"/>
        <v>0</v>
      </c>
      <c r="N18" s="43">
        <f t="shared" si="3"/>
        <v>38367</v>
      </c>
      <c r="O18" s="13">
        <v>0.77083333333333337</v>
      </c>
      <c r="P18" s="12">
        <v>14291</v>
      </c>
      <c r="Q18" s="23">
        <f t="shared" si="4"/>
        <v>6</v>
      </c>
    </row>
    <row r="19" spans="1:17" x14ac:dyDescent="0.2">
      <c r="F19" s="38">
        <f t="shared" si="1"/>
        <v>39402</v>
      </c>
      <c r="G19" s="9" t="s">
        <v>30</v>
      </c>
      <c r="H19" s="8">
        <v>14019</v>
      </c>
      <c r="I19" s="32">
        <f t="shared" si="0"/>
        <v>0</v>
      </c>
      <c r="J19" s="41">
        <f t="shared" si="2"/>
        <v>38702</v>
      </c>
      <c r="K19" s="11" t="s">
        <v>26</v>
      </c>
      <c r="L19" s="10">
        <v>14042</v>
      </c>
      <c r="M19" s="30">
        <f t="shared" si="5"/>
        <v>0</v>
      </c>
      <c r="N19" s="43">
        <f t="shared" si="3"/>
        <v>38368</v>
      </c>
      <c r="O19" s="13">
        <v>0.77083333333333337</v>
      </c>
      <c r="P19" s="12">
        <v>14298</v>
      </c>
      <c r="Q19" s="23">
        <f t="shared" si="4"/>
        <v>7</v>
      </c>
    </row>
    <row r="20" spans="1:17" x14ac:dyDescent="0.2">
      <c r="F20" s="38">
        <f t="shared" si="1"/>
        <v>39403</v>
      </c>
      <c r="G20" s="9" t="s">
        <v>25</v>
      </c>
      <c r="H20" s="8">
        <v>14019</v>
      </c>
      <c r="I20" s="32">
        <f t="shared" si="0"/>
        <v>0</v>
      </c>
      <c r="J20" s="41">
        <f t="shared" si="2"/>
        <v>38703</v>
      </c>
      <c r="K20" s="11">
        <v>0.77083333333333337</v>
      </c>
      <c r="L20" s="10">
        <v>14066</v>
      </c>
      <c r="M20" s="30">
        <f t="shared" si="5"/>
        <v>24</v>
      </c>
      <c r="N20" s="43">
        <f t="shared" si="3"/>
        <v>38369</v>
      </c>
      <c r="O20" s="13">
        <v>0.77083333333333337</v>
      </c>
      <c r="P20" s="12">
        <v>14304</v>
      </c>
      <c r="Q20" s="23">
        <f t="shared" si="4"/>
        <v>6</v>
      </c>
    </row>
    <row r="21" spans="1:17" x14ac:dyDescent="0.2">
      <c r="F21" s="38">
        <f t="shared" si="1"/>
        <v>39404</v>
      </c>
      <c r="G21" s="9" t="s">
        <v>26</v>
      </c>
      <c r="H21" s="8">
        <v>14019</v>
      </c>
      <c r="I21" s="32">
        <f t="shared" si="0"/>
        <v>0</v>
      </c>
      <c r="J21" s="41">
        <f t="shared" si="2"/>
        <v>38704</v>
      </c>
      <c r="K21" s="11">
        <v>0.77083333333333337</v>
      </c>
      <c r="L21" s="10">
        <v>14075</v>
      </c>
      <c r="M21" s="30">
        <f t="shared" si="5"/>
        <v>9</v>
      </c>
      <c r="N21" s="43">
        <f t="shared" si="3"/>
        <v>38370</v>
      </c>
      <c r="O21" s="13">
        <v>0.77083333333333337</v>
      </c>
      <c r="P21" s="12">
        <v>14309</v>
      </c>
      <c r="Q21" s="23">
        <f t="shared" si="4"/>
        <v>5</v>
      </c>
    </row>
    <row r="22" spans="1:17" x14ac:dyDescent="0.2">
      <c r="D22" s="26"/>
      <c r="F22" s="38">
        <f t="shared" si="1"/>
        <v>39405</v>
      </c>
      <c r="G22" s="9" t="s">
        <v>45</v>
      </c>
      <c r="H22" s="8">
        <v>14019</v>
      </c>
      <c r="I22" s="32">
        <f t="shared" si="0"/>
        <v>0</v>
      </c>
      <c r="J22" s="41">
        <f t="shared" si="2"/>
        <v>38705</v>
      </c>
      <c r="K22" s="11">
        <v>0.77083333333333337</v>
      </c>
      <c r="L22" s="10">
        <v>14084</v>
      </c>
      <c r="M22" s="30">
        <f t="shared" si="5"/>
        <v>9</v>
      </c>
      <c r="N22" s="43">
        <f t="shared" si="3"/>
        <v>38371</v>
      </c>
      <c r="O22" s="13" t="s">
        <v>25</v>
      </c>
      <c r="P22" s="12">
        <v>14309</v>
      </c>
      <c r="Q22" s="23">
        <f t="shared" si="4"/>
        <v>0</v>
      </c>
    </row>
    <row r="23" spans="1:17" x14ac:dyDescent="0.2">
      <c r="F23" s="38">
        <f t="shared" si="1"/>
        <v>39406</v>
      </c>
      <c r="G23" s="8" t="s">
        <v>46</v>
      </c>
      <c r="H23" s="8">
        <v>14019</v>
      </c>
      <c r="I23" s="32">
        <f t="shared" si="0"/>
        <v>0</v>
      </c>
      <c r="J23" s="41">
        <f t="shared" si="2"/>
        <v>38706</v>
      </c>
      <c r="K23" s="11">
        <v>0.77083333333333337</v>
      </c>
      <c r="L23" s="10">
        <v>14092</v>
      </c>
      <c r="M23" s="30">
        <f t="shared" si="5"/>
        <v>8</v>
      </c>
      <c r="N23" s="43">
        <f t="shared" si="3"/>
        <v>38372</v>
      </c>
      <c r="O23" s="13" t="s">
        <v>26</v>
      </c>
      <c r="P23" s="12">
        <v>14309</v>
      </c>
      <c r="Q23" s="23">
        <f t="shared" si="4"/>
        <v>0</v>
      </c>
    </row>
    <row r="24" spans="1:17" x14ac:dyDescent="0.2">
      <c r="B24" s="3"/>
      <c r="F24" s="38">
        <f t="shared" si="1"/>
        <v>39407</v>
      </c>
      <c r="G24" s="9" t="s">
        <v>47</v>
      </c>
      <c r="H24" s="8">
        <v>14019</v>
      </c>
      <c r="I24" s="32">
        <f t="shared" si="0"/>
        <v>0</v>
      </c>
      <c r="J24" s="41">
        <f t="shared" si="2"/>
        <v>38707</v>
      </c>
      <c r="K24" s="11">
        <v>0.77083333333333337</v>
      </c>
      <c r="L24" s="10">
        <v>14101</v>
      </c>
      <c r="M24" s="30">
        <f t="shared" si="5"/>
        <v>9</v>
      </c>
      <c r="N24" s="43">
        <f t="shared" si="3"/>
        <v>38373</v>
      </c>
      <c r="O24" s="13">
        <v>0.77083333333333337</v>
      </c>
      <c r="P24" s="12">
        <v>14327</v>
      </c>
      <c r="Q24" s="23">
        <f t="shared" si="4"/>
        <v>18</v>
      </c>
    </row>
    <row r="25" spans="1:17" x14ac:dyDescent="0.2">
      <c r="D25" s="26"/>
      <c r="F25" s="38">
        <f t="shared" si="1"/>
        <v>39408</v>
      </c>
      <c r="G25" s="9" t="s">
        <v>49</v>
      </c>
      <c r="H25" s="8">
        <v>14019</v>
      </c>
      <c r="I25" s="32">
        <f t="shared" si="0"/>
        <v>0</v>
      </c>
      <c r="J25" s="41">
        <f t="shared" si="2"/>
        <v>38708</v>
      </c>
      <c r="K25" s="11">
        <v>0.77083333333333337</v>
      </c>
      <c r="L25" s="10">
        <v>14101</v>
      </c>
      <c r="M25" s="30">
        <f t="shared" si="5"/>
        <v>0</v>
      </c>
      <c r="N25" s="43">
        <f t="shared" si="3"/>
        <v>38374</v>
      </c>
      <c r="O25" s="13">
        <v>0.77083333333333337</v>
      </c>
      <c r="P25" s="12">
        <v>14333</v>
      </c>
      <c r="Q25" s="23">
        <f t="shared" si="4"/>
        <v>6</v>
      </c>
    </row>
    <row r="26" spans="1:17" x14ac:dyDescent="0.2">
      <c r="B26" s="27"/>
      <c r="F26" s="38">
        <f t="shared" si="1"/>
        <v>39409</v>
      </c>
      <c r="G26" s="9" t="s">
        <v>30</v>
      </c>
      <c r="H26" s="8">
        <v>14019</v>
      </c>
      <c r="I26" s="32">
        <f t="shared" si="0"/>
        <v>0</v>
      </c>
      <c r="J26" s="41">
        <f t="shared" si="2"/>
        <v>38709</v>
      </c>
      <c r="K26" s="11">
        <v>0.77083333333333337</v>
      </c>
      <c r="L26" s="10">
        <v>14101</v>
      </c>
      <c r="M26" s="30">
        <f t="shared" si="5"/>
        <v>0</v>
      </c>
      <c r="N26" s="43">
        <f t="shared" si="3"/>
        <v>38375</v>
      </c>
      <c r="O26" s="13">
        <v>0.77083333333333337</v>
      </c>
      <c r="P26" s="12">
        <v>14338</v>
      </c>
      <c r="Q26" s="23">
        <f t="shared" si="4"/>
        <v>5</v>
      </c>
    </row>
    <row r="27" spans="1:17" x14ac:dyDescent="0.2">
      <c r="B27" s="3"/>
      <c r="F27" s="38">
        <f t="shared" si="1"/>
        <v>39410</v>
      </c>
      <c r="G27" s="9" t="s">
        <v>25</v>
      </c>
      <c r="H27" s="8">
        <v>14019</v>
      </c>
      <c r="I27" s="32">
        <f t="shared" si="0"/>
        <v>0</v>
      </c>
      <c r="J27" s="41">
        <f t="shared" si="2"/>
        <v>38710</v>
      </c>
      <c r="K27" s="11">
        <v>0.77083333333333337</v>
      </c>
      <c r="L27" s="10">
        <v>14101</v>
      </c>
      <c r="M27" s="30">
        <f t="shared" si="5"/>
        <v>0</v>
      </c>
      <c r="N27" s="43">
        <f t="shared" si="3"/>
        <v>38376</v>
      </c>
      <c r="O27" s="13">
        <v>0.77083333333333337</v>
      </c>
      <c r="P27" s="12">
        <v>14344</v>
      </c>
      <c r="Q27" s="23">
        <f t="shared" si="4"/>
        <v>6</v>
      </c>
    </row>
    <row r="28" spans="1:17" x14ac:dyDescent="0.2">
      <c r="F28" s="38">
        <f t="shared" si="1"/>
        <v>39411</v>
      </c>
      <c r="G28" s="9" t="s">
        <v>26</v>
      </c>
      <c r="H28" s="8">
        <v>14019</v>
      </c>
      <c r="I28" s="32">
        <f t="shared" si="0"/>
        <v>0</v>
      </c>
      <c r="J28" s="46">
        <f t="shared" si="2"/>
        <v>38711</v>
      </c>
      <c r="K28" s="11">
        <v>0.77083333333333337</v>
      </c>
      <c r="L28" s="10">
        <v>14101</v>
      </c>
      <c r="M28" s="30">
        <f t="shared" si="5"/>
        <v>0</v>
      </c>
      <c r="N28" s="43">
        <f t="shared" si="3"/>
        <v>38377</v>
      </c>
      <c r="O28" s="13">
        <v>0.77083333333333337</v>
      </c>
      <c r="P28" s="12">
        <v>14350</v>
      </c>
      <c r="Q28" s="23">
        <f t="shared" si="4"/>
        <v>6</v>
      </c>
    </row>
    <row r="29" spans="1:17" x14ac:dyDescent="0.2">
      <c r="A29" s="1" t="s">
        <v>40</v>
      </c>
      <c r="B29" s="6" t="s">
        <v>8</v>
      </c>
      <c r="C29" s="4" t="s">
        <v>5</v>
      </c>
      <c r="D29" s="4" t="s">
        <v>6</v>
      </c>
      <c r="F29" s="38">
        <f t="shared" si="1"/>
        <v>39412</v>
      </c>
      <c r="G29" s="9" t="s">
        <v>45</v>
      </c>
      <c r="H29" s="8">
        <v>14019</v>
      </c>
      <c r="I29" s="32">
        <f t="shared" si="0"/>
        <v>0</v>
      </c>
      <c r="J29" s="41">
        <f t="shared" si="2"/>
        <v>38712</v>
      </c>
      <c r="K29" s="11">
        <v>0.77083333333333337</v>
      </c>
      <c r="L29" s="10">
        <v>14101</v>
      </c>
      <c r="M29" s="30">
        <f t="shared" si="5"/>
        <v>0</v>
      </c>
      <c r="N29" s="43">
        <f t="shared" si="3"/>
        <v>38378</v>
      </c>
      <c r="O29" s="13" t="s">
        <v>25</v>
      </c>
      <c r="P29" s="12">
        <v>14350</v>
      </c>
      <c r="Q29" s="23">
        <f t="shared" si="4"/>
        <v>0</v>
      </c>
    </row>
    <row r="30" spans="1:17" x14ac:dyDescent="0.2">
      <c r="A30" s="5"/>
      <c r="F30" s="38">
        <f t="shared" si="1"/>
        <v>39413</v>
      </c>
      <c r="G30" s="9" t="s">
        <v>46</v>
      </c>
      <c r="H30" s="8">
        <v>14019</v>
      </c>
      <c r="I30" s="32">
        <f t="shared" si="0"/>
        <v>0</v>
      </c>
      <c r="J30" s="41">
        <f>J29+1</f>
        <v>38713</v>
      </c>
      <c r="K30" s="51">
        <v>0.77083333333333337</v>
      </c>
      <c r="L30" s="59">
        <v>14135</v>
      </c>
      <c r="M30" s="30">
        <f t="shared" ref="M30:M35" si="6">IF(AND(M29&lt;&gt;"",L30&lt;&gt;""),L30-L29,"")</f>
        <v>34</v>
      </c>
      <c r="N30" s="43">
        <f>N29+1</f>
        <v>38379</v>
      </c>
      <c r="O30" s="13" t="s">
        <v>26</v>
      </c>
      <c r="P30" s="12">
        <v>14350</v>
      </c>
      <c r="Q30" s="23">
        <f t="shared" ref="Q30:Q35" si="7">IF(AND(Q29&lt;&gt;"",P30&lt;&gt;""),P30-P29,"")</f>
        <v>0</v>
      </c>
    </row>
    <row r="31" spans="1:17" x14ac:dyDescent="0.2">
      <c r="A31" s="1" t="s">
        <v>0</v>
      </c>
      <c r="B31" s="2">
        <f>SUM("07/06/2008"-"31/3/2008")</f>
        <v>68</v>
      </c>
      <c r="F31" s="38">
        <f t="shared" si="1"/>
        <v>39414</v>
      </c>
      <c r="G31" s="9" t="s">
        <v>47</v>
      </c>
      <c r="H31" s="8">
        <v>14019</v>
      </c>
      <c r="I31" s="32">
        <f t="shared" si="0"/>
        <v>0</v>
      </c>
      <c r="J31" s="41">
        <f>J30+1</f>
        <v>38714</v>
      </c>
      <c r="K31" s="51">
        <v>0.77083333333333337</v>
      </c>
      <c r="L31" s="59">
        <v>14145</v>
      </c>
      <c r="M31" s="30">
        <f t="shared" si="6"/>
        <v>10</v>
      </c>
      <c r="N31" s="43">
        <f>N30+1</f>
        <v>38380</v>
      </c>
      <c r="O31" s="13">
        <v>0.77083333333333337</v>
      </c>
      <c r="P31" s="12">
        <v>14364</v>
      </c>
      <c r="Q31" s="23">
        <f t="shared" si="7"/>
        <v>14</v>
      </c>
    </row>
    <row r="32" spans="1:17" x14ac:dyDescent="0.2">
      <c r="A32" s="1" t="s">
        <v>4</v>
      </c>
      <c r="B32" s="2">
        <f>MAX(H4:H30, L4:L30,P4:P30, H33:H66, L33:L68, P33:P67)-14585</f>
        <v>60</v>
      </c>
      <c r="F32" s="38">
        <f t="shared" si="1"/>
        <v>39415</v>
      </c>
      <c r="G32" s="9" t="s">
        <v>49</v>
      </c>
      <c r="H32" s="8">
        <v>14019</v>
      </c>
      <c r="I32" s="32">
        <f t="shared" si="0"/>
        <v>0</v>
      </c>
      <c r="J32" s="41">
        <f>J31+1</f>
        <v>38715</v>
      </c>
      <c r="K32" s="51" t="s">
        <v>25</v>
      </c>
      <c r="L32" s="59">
        <v>14145</v>
      </c>
      <c r="M32" s="30">
        <f t="shared" si="6"/>
        <v>0</v>
      </c>
      <c r="N32" s="43">
        <f>N31+1</f>
        <v>38381</v>
      </c>
      <c r="O32" s="13">
        <v>0.77083333333333337</v>
      </c>
      <c r="P32" s="12">
        <v>14368</v>
      </c>
      <c r="Q32" s="23">
        <f t="shared" si="7"/>
        <v>4</v>
      </c>
    </row>
    <row r="33" spans="1:17" x14ac:dyDescent="0.2">
      <c r="A33" s="1" t="s">
        <v>1</v>
      </c>
      <c r="B33" s="2">
        <f>B31</f>
        <v>68</v>
      </c>
      <c r="C33" s="3">
        <v>8.2192000000000001E-2</v>
      </c>
      <c r="D33" s="3">
        <f t="shared" ref="D33:D42" si="8">B33*C33</f>
        <v>5.5890560000000002</v>
      </c>
      <c r="F33" s="38">
        <f t="shared" si="1"/>
        <v>39416</v>
      </c>
      <c r="G33" s="9" t="s">
        <v>30</v>
      </c>
      <c r="H33" s="8">
        <v>14019</v>
      </c>
      <c r="I33" s="32">
        <f t="shared" si="0"/>
        <v>0</v>
      </c>
      <c r="J33" s="41">
        <f>J32+1</f>
        <v>38716</v>
      </c>
      <c r="K33" s="51" t="s">
        <v>26</v>
      </c>
      <c r="L33" s="59">
        <v>14145</v>
      </c>
      <c r="M33" s="30">
        <f t="shared" si="6"/>
        <v>0</v>
      </c>
      <c r="N33" s="43">
        <f>N32+1</f>
        <v>38382</v>
      </c>
      <c r="O33" s="13">
        <v>0.77083333333333337</v>
      </c>
      <c r="P33" s="12">
        <v>14373</v>
      </c>
      <c r="Q33" s="23">
        <f t="shared" si="7"/>
        <v>5</v>
      </c>
    </row>
    <row r="34" spans="1:17" x14ac:dyDescent="0.2">
      <c r="A34" s="1" t="s">
        <v>54</v>
      </c>
      <c r="B34" s="2">
        <f>B31</f>
        <v>68</v>
      </c>
      <c r="C34" s="3">
        <v>9.8630000000000002E-3</v>
      </c>
      <c r="D34" s="3">
        <f t="shared" si="8"/>
        <v>0.67068400000000006</v>
      </c>
      <c r="F34" s="38"/>
      <c r="G34" s="8"/>
      <c r="H34" s="8"/>
      <c r="I34" s="32" t="str">
        <f t="shared" si="0"/>
        <v/>
      </c>
      <c r="J34" s="41">
        <f>J33+1</f>
        <v>38717</v>
      </c>
      <c r="K34" s="51" t="s">
        <v>45</v>
      </c>
      <c r="L34" s="59">
        <v>14145</v>
      </c>
      <c r="M34" s="30">
        <f t="shared" si="6"/>
        <v>0</v>
      </c>
      <c r="N34" s="43">
        <f>N33+1</f>
        <v>38383</v>
      </c>
      <c r="O34" s="13">
        <v>0.77083333333333337</v>
      </c>
      <c r="P34" s="12">
        <v>14377</v>
      </c>
      <c r="Q34" s="23">
        <f t="shared" si="7"/>
        <v>4</v>
      </c>
    </row>
    <row r="35" spans="1:17" ht="13.5" thickBot="1" x14ac:dyDescent="0.25">
      <c r="A35" s="1" t="s">
        <v>22</v>
      </c>
      <c r="B35" s="2">
        <f>B40</f>
        <v>0</v>
      </c>
      <c r="C35" s="3">
        <f>0.001072*1.1</f>
        <v>1.1792E-3</v>
      </c>
      <c r="D35" s="3">
        <f t="shared" si="8"/>
        <v>0</v>
      </c>
      <c r="F35" s="38"/>
      <c r="G35" s="8"/>
      <c r="H35" s="8"/>
      <c r="I35" s="32" t="str">
        <f t="shared" si="0"/>
        <v/>
      </c>
      <c r="J35" s="41"/>
      <c r="K35" s="51"/>
      <c r="L35" s="57"/>
      <c r="M35" s="30" t="str">
        <f t="shared" si="6"/>
        <v/>
      </c>
      <c r="N35" s="43"/>
      <c r="O35" s="12"/>
      <c r="P35" s="12"/>
      <c r="Q35" s="23" t="str">
        <f t="shared" si="7"/>
        <v/>
      </c>
    </row>
    <row r="36" spans="1:17" ht="13.5" thickTop="1" x14ac:dyDescent="0.2">
      <c r="A36" s="1" t="s">
        <v>15</v>
      </c>
      <c r="B36" s="2">
        <v>0</v>
      </c>
      <c r="C36" s="3">
        <f>0.060228*1.1</f>
        <v>6.6250799999999999E-2</v>
      </c>
      <c r="D36" s="3">
        <f t="shared" si="8"/>
        <v>0</v>
      </c>
      <c r="F36" s="37" t="s">
        <v>13</v>
      </c>
      <c r="G36" s="19" t="s">
        <v>10</v>
      </c>
      <c r="H36" s="19" t="s">
        <v>9</v>
      </c>
      <c r="I36" s="47" t="s">
        <v>11</v>
      </c>
      <c r="J36" s="45" t="s">
        <v>14</v>
      </c>
      <c r="K36" s="35" t="s">
        <v>10</v>
      </c>
      <c r="L36" s="20" t="s">
        <v>9</v>
      </c>
      <c r="M36" s="50" t="s">
        <v>11</v>
      </c>
      <c r="N36" s="48" t="s">
        <v>21</v>
      </c>
      <c r="O36" s="21" t="s">
        <v>10</v>
      </c>
      <c r="P36" s="21" t="s">
        <v>9</v>
      </c>
      <c r="Q36" s="22" t="s">
        <v>11</v>
      </c>
    </row>
    <row r="37" spans="1:17" x14ac:dyDescent="0.2">
      <c r="A37" s="1" t="s">
        <v>17</v>
      </c>
      <c r="B37" s="2">
        <f>B32</f>
        <v>60</v>
      </c>
      <c r="C37" s="3">
        <v>3.3156999999999999E-2</v>
      </c>
      <c r="D37" s="3">
        <f t="shared" si="8"/>
        <v>1.98942</v>
      </c>
      <c r="F37" s="38"/>
      <c r="G37" s="8"/>
      <c r="H37" s="8"/>
      <c r="I37" s="32"/>
      <c r="J37" s="46"/>
      <c r="K37" s="11"/>
      <c r="L37" s="10"/>
      <c r="M37" s="30"/>
      <c r="N37" s="49"/>
      <c r="O37" s="12"/>
      <c r="P37" s="12"/>
      <c r="Q37" s="23"/>
    </row>
    <row r="38" spans="1:17" x14ac:dyDescent="0.2">
      <c r="A38" s="1" t="s">
        <v>55</v>
      </c>
      <c r="B38" s="2">
        <f>B32-B39</f>
        <v>60</v>
      </c>
      <c r="C38" s="29">
        <f>0.171*1.1</f>
        <v>0.18810000000000002</v>
      </c>
      <c r="D38" s="3">
        <f t="shared" si="8"/>
        <v>11.286000000000001</v>
      </c>
      <c r="F38" s="38">
        <v>38384</v>
      </c>
      <c r="G38" s="9">
        <v>0.77083333333333337</v>
      </c>
      <c r="H38" s="8">
        <v>14382</v>
      </c>
      <c r="I38" s="32">
        <f>H38-P34</f>
        <v>5</v>
      </c>
      <c r="J38" s="46">
        <v>38412</v>
      </c>
      <c r="K38" s="11" t="s">
        <v>25</v>
      </c>
      <c r="L38" s="10">
        <v>14526</v>
      </c>
      <c r="M38" s="30">
        <f>IF(AND(I69&lt;&gt;"",L38&lt;&gt;""),L38-L37,L38-MAX(H38:H69))</f>
        <v>0</v>
      </c>
      <c r="N38" s="43">
        <v>38443</v>
      </c>
      <c r="O38" s="13">
        <v>0.77083333333333337</v>
      </c>
      <c r="P38" s="12">
        <v>14602</v>
      </c>
      <c r="Q38" s="23">
        <f>IF(AND(M69&lt;&gt;"",P38&lt;&gt;""),P38-P37,P38-MAX(L38:L69))</f>
        <v>2</v>
      </c>
    </row>
    <row r="39" spans="1:17" x14ac:dyDescent="0.2">
      <c r="A39" s="1" t="s">
        <v>56</v>
      </c>
      <c r="B39" s="2">
        <v>0</v>
      </c>
      <c r="C39" s="3">
        <f>0.1732*1.1</f>
        <v>0.19051999999999999</v>
      </c>
      <c r="D39" s="3">
        <f t="shared" si="8"/>
        <v>0</v>
      </c>
      <c r="F39" s="38">
        <f>F38+1</f>
        <v>38385</v>
      </c>
      <c r="G39" s="9" t="s">
        <v>25</v>
      </c>
      <c r="H39" s="8">
        <v>14382</v>
      </c>
      <c r="I39" s="32">
        <f t="shared" ref="I39:I44" si="9">IF(AND(I38&lt;&gt;"",H39&lt;&gt;""),H39-H38,"")</f>
        <v>0</v>
      </c>
      <c r="J39" s="41">
        <f>J38+1</f>
        <v>38413</v>
      </c>
      <c r="K39" s="11" t="s">
        <v>26</v>
      </c>
      <c r="L39" s="10">
        <v>14526</v>
      </c>
      <c r="M39" s="30">
        <f t="shared" ref="M39:M69" si="10">IF(AND(M38&lt;&gt;"",L39&lt;&gt;""),L39-L38,"")</f>
        <v>0</v>
      </c>
      <c r="N39" s="43">
        <f>N38+1</f>
        <v>38444</v>
      </c>
      <c r="O39" s="13">
        <v>0.77083333333333337</v>
      </c>
      <c r="P39" s="12">
        <v>14603</v>
      </c>
      <c r="Q39" s="23">
        <f>IF(AND(Q38&lt;&gt;"",P39&lt;&gt;""),P39-P38,"")</f>
        <v>1</v>
      </c>
    </row>
    <row r="40" spans="1:17" x14ac:dyDescent="0.2">
      <c r="A40" s="1" t="s">
        <v>23</v>
      </c>
      <c r="B40" s="2">
        <v>0</v>
      </c>
      <c r="C40" s="3">
        <f>B46*1.1</f>
        <v>0.38349850000000002</v>
      </c>
      <c r="D40" s="3">
        <f t="shared" si="8"/>
        <v>0</v>
      </c>
      <c r="F40" s="38">
        <f t="shared" ref="F40:F62" si="11">F39+1</f>
        <v>38386</v>
      </c>
      <c r="G40" s="9" t="s">
        <v>26</v>
      </c>
      <c r="H40" s="8">
        <v>14382</v>
      </c>
      <c r="I40" s="32">
        <f t="shared" si="9"/>
        <v>0</v>
      </c>
      <c r="J40" s="41">
        <f t="shared" ref="J40:J62" si="12">J39+1</f>
        <v>38414</v>
      </c>
      <c r="K40" s="11">
        <v>0.77083333333333337</v>
      </c>
      <c r="L40" s="10">
        <v>14529</v>
      </c>
      <c r="M40" s="30">
        <f t="shared" si="10"/>
        <v>3</v>
      </c>
      <c r="N40" s="43">
        <f t="shared" ref="N40:N67" si="13">N39+1</f>
        <v>38445</v>
      </c>
      <c r="O40" s="13">
        <v>0.77083333333333337</v>
      </c>
      <c r="P40" s="12">
        <v>14604</v>
      </c>
      <c r="Q40" s="23">
        <f t="shared" ref="Q40:Q69" si="14">IF(AND(Q39&lt;&gt;"",P40&lt;&gt;""),P40-P39,"")</f>
        <v>1</v>
      </c>
    </row>
    <row r="41" spans="1:17" x14ac:dyDescent="0.2">
      <c r="A41" s="1" t="s">
        <v>16</v>
      </c>
      <c r="B41" s="2">
        <v>0</v>
      </c>
      <c r="C41" s="3">
        <f>B47*1.1</f>
        <v>0.39395180000000002</v>
      </c>
      <c r="D41" s="3">
        <f t="shared" si="8"/>
        <v>0</v>
      </c>
      <c r="F41" s="38">
        <f t="shared" si="11"/>
        <v>38387</v>
      </c>
      <c r="G41" s="9">
        <v>0.77083333333333337</v>
      </c>
      <c r="H41" s="8">
        <v>14399</v>
      </c>
      <c r="I41" s="32">
        <f t="shared" si="9"/>
        <v>17</v>
      </c>
      <c r="J41" s="41">
        <f t="shared" si="12"/>
        <v>38415</v>
      </c>
      <c r="K41" s="11">
        <v>0.77083333333333337</v>
      </c>
      <c r="L41" s="10">
        <v>14531</v>
      </c>
      <c r="M41" s="30">
        <f t="shared" si="10"/>
        <v>2</v>
      </c>
      <c r="N41" s="43">
        <f t="shared" si="13"/>
        <v>38446</v>
      </c>
      <c r="O41" s="13">
        <v>0.77083333333333337</v>
      </c>
      <c r="P41" s="12">
        <v>14605</v>
      </c>
      <c r="Q41" s="23">
        <f t="shared" si="14"/>
        <v>1</v>
      </c>
    </row>
    <row r="42" spans="1:17" x14ac:dyDescent="0.2">
      <c r="A42" s="1" t="s">
        <v>18</v>
      </c>
      <c r="B42" s="2">
        <f>B32</f>
        <v>60</v>
      </c>
      <c r="C42" s="29">
        <f>B48*1.1</f>
        <v>0.42203920000000006</v>
      </c>
      <c r="D42" s="3">
        <f t="shared" si="8"/>
        <v>25.322352000000002</v>
      </c>
      <c r="F42" s="38">
        <f t="shared" si="11"/>
        <v>38388</v>
      </c>
      <c r="G42" s="9">
        <v>0.77083333333333337</v>
      </c>
      <c r="H42" s="8">
        <v>14405</v>
      </c>
      <c r="I42" s="32">
        <f t="shared" si="9"/>
        <v>6</v>
      </c>
      <c r="J42" s="41">
        <f t="shared" si="12"/>
        <v>38416</v>
      </c>
      <c r="K42" s="11">
        <v>0.77083333333333337</v>
      </c>
      <c r="L42" s="10">
        <v>14534</v>
      </c>
      <c r="M42" s="30">
        <f t="shared" si="10"/>
        <v>3</v>
      </c>
      <c r="N42" s="43">
        <f t="shared" si="13"/>
        <v>38447</v>
      </c>
      <c r="O42" s="13" t="s">
        <v>25</v>
      </c>
      <c r="P42" s="12">
        <v>14605</v>
      </c>
      <c r="Q42" s="23">
        <f t="shared" si="14"/>
        <v>0</v>
      </c>
    </row>
    <row r="43" spans="1:17" x14ac:dyDescent="0.2">
      <c r="F43" s="38">
        <f t="shared" si="11"/>
        <v>38389</v>
      </c>
      <c r="G43" s="9">
        <v>0.77083333333333337</v>
      </c>
      <c r="H43" s="8">
        <v>14411</v>
      </c>
      <c r="I43" s="32">
        <f t="shared" si="9"/>
        <v>6</v>
      </c>
      <c r="J43" s="41">
        <f t="shared" si="12"/>
        <v>38417</v>
      </c>
      <c r="K43" s="11">
        <v>0.77083333333333337</v>
      </c>
      <c r="L43" s="10">
        <v>14539</v>
      </c>
      <c r="M43" s="30">
        <f t="shared" si="10"/>
        <v>5</v>
      </c>
      <c r="N43" s="43">
        <f t="shared" si="13"/>
        <v>38448</v>
      </c>
      <c r="O43" s="13" t="s">
        <v>26</v>
      </c>
      <c r="P43" s="12">
        <v>14605</v>
      </c>
      <c r="Q43" s="23">
        <f t="shared" si="14"/>
        <v>0</v>
      </c>
    </row>
    <row r="44" spans="1:17" x14ac:dyDescent="0.2">
      <c r="A44" s="1" t="s">
        <v>51</v>
      </c>
      <c r="D44" s="7">
        <f>SUM(D33:D42)</f>
        <v>44.857512</v>
      </c>
      <c r="F44" s="38">
        <f t="shared" si="11"/>
        <v>38390</v>
      </c>
      <c r="G44" s="9">
        <v>0.77083333333333337</v>
      </c>
      <c r="H44" s="8">
        <v>14414</v>
      </c>
      <c r="I44" s="32">
        <f t="shared" si="9"/>
        <v>3</v>
      </c>
      <c r="J44" s="41">
        <f t="shared" si="12"/>
        <v>38418</v>
      </c>
      <c r="K44" s="11">
        <v>0.77083333333333337</v>
      </c>
      <c r="L44" s="10">
        <v>14544</v>
      </c>
      <c r="M44" s="30">
        <f t="shared" si="10"/>
        <v>5</v>
      </c>
      <c r="N44" s="43">
        <f t="shared" si="13"/>
        <v>38449</v>
      </c>
      <c r="O44" s="13">
        <v>0.77083333333333337</v>
      </c>
      <c r="P44" s="12">
        <v>14608</v>
      </c>
      <c r="Q44" s="23">
        <f t="shared" si="14"/>
        <v>3</v>
      </c>
    </row>
    <row r="45" spans="1:17" x14ac:dyDescent="0.2">
      <c r="F45" s="38">
        <f t="shared" si="11"/>
        <v>38391</v>
      </c>
      <c r="G45" s="9">
        <v>0.77083333333333337</v>
      </c>
      <c r="H45" s="8">
        <v>14418</v>
      </c>
      <c r="I45" s="32">
        <f t="shared" ref="I45:I62" si="15">IF(AND(I44&lt;&gt;"",H45&lt;&gt;""),H45-H44,"")</f>
        <v>4</v>
      </c>
      <c r="J45" s="41">
        <f t="shared" si="12"/>
        <v>38419</v>
      </c>
      <c r="K45" s="11" t="s">
        <v>25</v>
      </c>
      <c r="L45" s="10">
        <v>14544</v>
      </c>
      <c r="M45" s="30">
        <f t="shared" si="10"/>
        <v>0</v>
      </c>
      <c r="N45" s="43">
        <f t="shared" si="13"/>
        <v>38450</v>
      </c>
      <c r="O45" s="13">
        <v>0.77083333333333337</v>
      </c>
      <c r="P45" s="12">
        <v>14610</v>
      </c>
      <c r="Q45" s="23">
        <f t="shared" si="14"/>
        <v>2</v>
      </c>
    </row>
    <row r="46" spans="1:17" x14ac:dyDescent="0.2">
      <c r="A46" s="1" t="s">
        <v>23</v>
      </c>
      <c r="B46" s="26">
        <v>0.34863499999999997</v>
      </c>
      <c r="D46" s="26"/>
      <c r="F46" s="38">
        <f t="shared" si="11"/>
        <v>38392</v>
      </c>
      <c r="G46" s="9" t="s">
        <v>25</v>
      </c>
      <c r="H46" s="8">
        <v>14418</v>
      </c>
      <c r="I46" s="32">
        <f t="shared" si="15"/>
        <v>0</v>
      </c>
      <c r="J46" s="41">
        <f t="shared" si="12"/>
        <v>38420</v>
      </c>
      <c r="K46" s="11" t="s">
        <v>26</v>
      </c>
      <c r="L46" s="10">
        <v>14544</v>
      </c>
      <c r="M46" s="30">
        <f t="shared" si="10"/>
        <v>0</v>
      </c>
      <c r="N46" s="43">
        <f t="shared" si="13"/>
        <v>38451</v>
      </c>
      <c r="O46" s="13">
        <v>0.77083333333333337</v>
      </c>
      <c r="P46" s="12">
        <v>14613</v>
      </c>
      <c r="Q46" s="23">
        <f t="shared" si="14"/>
        <v>3</v>
      </c>
    </row>
    <row r="47" spans="1:17" x14ac:dyDescent="0.2">
      <c r="A47" s="1" t="s">
        <v>16</v>
      </c>
      <c r="B47" s="26">
        <v>0.35813800000000001</v>
      </c>
      <c r="F47" s="38">
        <f t="shared" si="11"/>
        <v>38393</v>
      </c>
      <c r="G47" s="9" t="s">
        <v>26</v>
      </c>
      <c r="H47" s="8">
        <v>14418</v>
      </c>
      <c r="I47" s="32">
        <f t="shared" si="15"/>
        <v>0</v>
      </c>
      <c r="J47" s="41">
        <f t="shared" si="12"/>
        <v>38421</v>
      </c>
      <c r="K47" s="11">
        <v>0.77083333333333337</v>
      </c>
      <c r="L47" s="10">
        <v>14555</v>
      </c>
      <c r="M47" s="30">
        <f t="shared" si="10"/>
        <v>11</v>
      </c>
      <c r="N47" s="43">
        <f t="shared" si="13"/>
        <v>38452</v>
      </c>
      <c r="O47" s="13">
        <v>0.77083333333333337</v>
      </c>
      <c r="P47" s="12">
        <v>14616</v>
      </c>
      <c r="Q47" s="23">
        <f t="shared" si="14"/>
        <v>3</v>
      </c>
    </row>
    <row r="48" spans="1:17" x14ac:dyDescent="0.2">
      <c r="A48" s="1" t="s">
        <v>18</v>
      </c>
      <c r="B48" s="26">
        <v>0.38367200000000001</v>
      </c>
      <c r="F48" s="38">
        <f t="shared" si="11"/>
        <v>38394</v>
      </c>
      <c r="G48" s="9">
        <v>0.77083333333333337</v>
      </c>
      <c r="H48" s="8">
        <v>14433</v>
      </c>
      <c r="I48" s="32">
        <f t="shared" si="15"/>
        <v>15</v>
      </c>
      <c r="J48" s="41">
        <f t="shared" si="12"/>
        <v>38422</v>
      </c>
      <c r="K48" s="11">
        <v>0.77083333333333337</v>
      </c>
      <c r="L48" s="10">
        <v>14559</v>
      </c>
      <c r="M48" s="30">
        <f t="shared" si="10"/>
        <v>4</v>
      </c>
      <c r="N48" s="43">
        <f t="shared" si="13"/>
        <v>38453</v>
      </c>
      <c r="O48" s="13">
        <v>0.77083333333333337</v>
      </c>
      <c r="P48" s="12">
        <v>14619</v>
      </c>
      <c r="Q48" s="23">
        <f t="shared" si="14"/>
        <v>3</v>
      </c>
    </row>
    <row r="49" spans="6:17" x14ac:dyDescent="0.2">
      <c r="F49" s="38">
        <f t="shared" si="11"/>
        <v>38395</v>
      </c>
      <c r="G49" s="9">
        <v>0.77083333333333337</v>
      </c>
      <c r="H49" s="8">
        <v>14440</v>
      </c>
      <c r="I49" s="32">
        <f t="shared" si="15"/>
        <v>7</v>
      </c>
      <c r="J49" s="41">
        <f t="shared" si="12"/>
        <v>38423</v>
      </c>
      <c r="K49" s="11">
        <v>0.77083333333333337</v>
      </c>
      <c r="L49" s="10">
        <v>14561</v>
      </c>
      <c r="M49" s="30">
        <f t="shared" si="10"/>
        <v>2</v>
      </c>
      <c r="N49" s="43">
        <f t="shared" si="13"/>
        <v>38454</v>
      </c>
      <c r="O49" s="13" t="s">
        <v>25</v>
      </c>
      <c r="P49" s="12">
        <v>14619</v>
      </c>
      <c r="Q49" s="23">
        <f t="shared" si="14"/>
        <v>0</v>
      </c>
    </row>
    <row r="50" spans="6:17" x14ac:dyDescent="0.2">
      <c r="F50" s="38">
        <f t="shared" si="11"/>
        <v>38396</v>
      </c>
      <c r="G50" s="9">
        <v>0.77083333333333337</v>
      </c>
      <c r="H50" s="8">
        <v>14446</v>
      </c>
      <c r="I50" s="32">
        <f t="shared" si="15"/>
        <v>6</v>
      </c>
      <c r="J50" s="41">
        <f t="shared" si="12"/>
        <v>38424</v>
      </c>
      <c r="K50" s="11">
        <v>0.77083333333333337</v>
      </c>
      <c r="L50" s="10">
        <v>14563</v>
      </c>
      <c r="M50" s="30">
        <f t="shared" si="10"/>
        <v>2</v>
      </c>
      <c r="N50" s="43">
        <f t="shared" si="13"/>
        <v>38455</v>
      </c>
      <c r="O50" s="13" t="s">
        <v>26</v>
      </c>
      <c r="P50" s="12">
        <v>14619</v>
      </c>
      <c r="Q50" s="23">
        <f t="shared" si="14"/>
        <v>0</v>
      </c>
    </row>
    <row r="51" spans="6:17" x14ac:dyDescent="0.2">
      <c r="F51" s="38">
        <f t="shared" si="11"/>
        <v>38397</v>
      </c>
      <c r="G51" s="9">
        <v>0.77083333333333337</v>
      </c>
      <c r="H51" s="8">
        <v>14452</v>
      </c>
      <c r="I51" s="32">
        <f t="shared" si="15"/>
        <v>6</v>
      </c>
      <c r="J51" s="41">
        <f t="shared" si="12"/>
        <v>38425</v>
      </c>
      <c r="K51" s="11">
        <v>0.77083333333333337</v>
      </c>
      <c r="L51" s="10">
        <v>14564</v>
      </c>
      <c r="M51" s="30">
        <f t="shared" si="10"/>
        <v>1</v>
      </c>
      <c r="N51" s="43">
        <f t="shared" si="13"/>
        <v>38456</v>
      </c>
      <c r="O51" s="13">
        <v>0.77083333333333337</v>
      </c>
      <c r="P51" s="12">
        <v>14624</v>
      </c>
      <c r="Q51" s="23">
        <f t="shared" si="14"/>
        <v>5</v>
      </c>
    </row>
    <row r="52" spans="6:17" x14ac:dyDescent="0.2">
      <c r="F52" s="38">
        <f t="shared" si="11"/>
        <v>38398</v>
      </c>
      <c r="G52" s="9">
        <v>0.77083333333333337</v>
      </c>
      <c r="H52" s="8">
        <v>14459</v>
      </c>
      <c r="I52" s="32">
        <f t="shared" si="15"/>
        <v>7</v>
      </c>
      <c r="J52" s="41">
        <f t="shared" si="12"/>
        <v>38426</v>
      </c>
      <c r="K52" s="11" t="s">
        <v>25</v>
      </c>
      <c r="L52" s="10">
        <v>14564</v>
      </c>
      <c r="M52" s="30">
        <f t="shared" si="10"/>
        <v>0</v>
      </c>
      <c r="N52" s="43">
        <f t="shared" si="13"/>
        <v>38457</v>
      </c>
      <c r="O52" s="13">
        <v>0.77083333333333337</v>
      </c>
      <c r="P52" s="12">
        <v>14627</v>
      </c>
      <c r="Q52" s="23">
        <f t="shared" si="14"/>
        <v>3</v>
      </c>
    </row>
    <row r="53" spans="6:17" x14ac:dyDescent="0.2">
      <c r="F53" s="38">
        <f t="shared" si="11"/>
        <v>38399</v>
      </c>
      <c r="G53" s="9" t="s">
        <v>25</v>
      </c>
      <c r="H53" s="8">
        <v>14459</v>
      </c>
      <c r="I53" s="32">
        <f t="shared" si="15"/>
        <v>0</v>
      </c>
      <c r="J53" s="41">
        <f t="shared" si="12"/>
        <v>38427</v>
      </c>
      <c r="K53" s="11" t="s">
        <v>26</v>
      </c>
      <c r="L53" s="10">
        <v>14564</v>
      </c>
      <c r="M53" s="30">
        <f t="shared" si="10"/>
        <v>0</v>
      </c>
      <c r="N53" s="43">
        <f t="shared" si="13"/>
        <v>38458</v>
      </c>
      <c r="O53" s="13">
        <v>0.77083333333333337</v>
      </c>
      <c r="P53" s="12">
        <v>14630</v>
      </c>
      <c r="Q53" s="23">
        <f t="shared" si="14"/>
        <v>3</v>
      </c>
    </row>
    <row r="54" spans="6:17" x14ac:dyDescent="0.2">
      <c r="F54" s="38">
        <f t="shared" si="11"/>
        <v>38400</v>
      </c>
      <c r="G54" s="9" t="s">
        <v>26</v>
      </c>
      <c r="H54" s="8">
        <v>14459</v>
      </c>
      <c r="I54" s="32">
        <f t="shared" si="15"/>
        <v>0</v>
      </c>
      <c r="J54" s="41">
        <f t="shared" si="12"/>
        <v>38428</v>
      </c>
      <c r="K54" s="11">
        <v>0.77083333333333337</v>
      </c>
      <c r="L54" s="10">
        <v>14565</v>
      </c>
      <c r="M54" s="30">
        <f t="shared" si="10"/>
        <v>1</v>
      </c>
      <c r="N54" s="43">
        <f t="shared" si="13"/>
        <v>38459</v>
      </c>
      <c r="O54" s="13">
        <v>0.77083333333333337</v>
      </c>
      <c r="P54" s="12">
        <v>14632</v>
      </c>
      <c r="Q54" s="23">
        <f t="shared" si="14"/>
        <v>2</v>
      </c>
    </row>
    <row r="55" spans="6:17" x14ac:dyDescent="0.2">
      <c r="F55" s="38">
        <f t="shared" si="11"/>
        <v>38401</v>
      </c>
      <c r="G55" s="9">
        <v>0.77083333333333337</v>
      </c>
      <c r="H55" s="8">
        <v>14478</v>
      </c>
      <c r="I55" s="32">
        <f t="shared" si="15"/>
        <v>19</v>
      </c>
      <c r="J55" s="41">
        <f t="shared" si="12"/>
        <v>38429</v>
      </c>
      <c r="K55" s="11">
        <v>0.77083333333333337</v>
      </c>
      <c r="L55" s="10">
        <v>14567</v>
      </c>
      <c r="M55" s="30">
        <f t="shared" si="10"/>
        <v>2</v>
      </c>
      <c r="N55" s="43">
        <f t="shared" si="13"/>
        <v>38460</v>
      </c>
      <c r="O55" s="13">
        <v>0.77083333333333337</v>
      </c>
      <c r="P55" s="12">
        <v>14635</v>
      </c>
      <c r="Q55" s="23">
        <f t="shared" si="14"/>
        <v>3</v>
      </c>
    </row>
    <row r="56" spans="6:17" x14ac:dyDescent="0.2">
      <c r="F56" s="38">
        <f t="shared" si="11"/>
        <v>38402</v>
      </c>
      <c r="G56" s="9">
        <v>0.77083333333333337</v>
      </c>
      <c r="H56" s="8">
        <v>14485</v>
      </c>
      <c r="I56" s="32">
        <f t="shared" si="15"/>
        <v>7</v>
      </c>
      <c r="J56" s="41">
        <f t="shared" si="12"/>
        <v>38430</v>
      </c>
      <c r="K56" s="11">
        <v>0.77083333333333337</v>
      </c>
      <c r="L56" s="10">
        <v>14569</v>
      </c>
      <c r="M56" s="30">
        <f t="shared" si="10"/>
        <v>2</v>
      </c>
      <c r="N56" s="43">
        <f t="shared" si="13"/>
        <v>38461</v>
      </c>
      <c r="O56" s="13" t="s">
        <v>25</v>
      </c>
      <c r="P56" s="12">
        <v>14635</v>
      </c>
      <c r="Q56" s="23">
        <f t="shared" si="14"/>
        <v>0</v>
      </c>
    </row>
    <row r="57" spans="6:17" x14ac:dyDescent="0.2">
      <c r="F57" s="38">
        <f t="shared" si="11"/>
        <v>38403</v>
      </c>
      <c r="G57" s="9">
        <v>0.77083333333333337</v>
      </c>
      <c r="H57" s="8">
        <v>14491</v>
      </c>
      <c r="I57" s="32">
        <f t="shared" si="15"/>
        <v>6</v>
      </c>
      <c r="J57" s="41">
        <f t="shared" si="12"/>
        <v>38431</v>
      </c>
      <c r="K57" s="11">
        <v>0.77083333333333337</v>
      </c>
      <c r="L57" s="10">
        <v>14572</v>
      </c>
      <c r="M57" s="30">
        <f t="shared" si="10"/>
        <v>3</v>
      </c>
      <c r="N57" s="43">
        <f t="shared" si="13"/>
        <v>38462</v>
      </c>
      <c r="O57" s="13" t="s">
        <v>26</v>
      </c>
      <c r="P57" s="12">
        <v>14635</v>
      </c>
      <c r="Q57" s="23">
        <f t="shared" si="14"/>
        <v>0</v>
      </c>
    </row>
    <row r="58" spans="6:17" x14ac:dyDescent="0.2">
      <c r="F58" s="38">
        <f t="shared" si="11"/>
        <v>38404</v>
      </c>
      <c r="G58" s="9">
        <v>0.77083333333333337</v>
      </c>
      <c r="H58" s="8">
        <v>14497</v>
      </c>
      <c r="I58" s="32">
        <f t="shared" si="15"/>
        <v>6</v>
      </c>
      <c r="J58" s="41">
        <f t="shared" si="12"/>
        <v>38432</v>
      </c>
      <c r="K58" s="11">
        <v>0.77083333333333337</v>
      </c>
      <c r="L58" s="10">
        <v>14576</v>
      </c>
      <c r="M58" s="30">
        <f t="shared" si="10"/>
        <v>4</v>
      </c>
      <c r="N58" s="43">
        <f t="shared" si="13"/>
        <v>38463</v>
      </c>
      <c r="O58" s="13">
        <v>0.77083333333333337</v>
      </c>
      <c r="P58" s="12">
        <v>14639</v>
      </c>
      <c r="Q58" s="23">
        <f t="shared" si="14"/>
        <v>4</v>
      </c>
    </row>
    <row r="59" spans="6:17" x14ac:dyDescent="0.2">
      <c r="F59" s="38">
        <f t="shared" si="11"/>
        <v>38405</v>
      </c>
      <c r="G59" s="9">
        <v>0.77083333333333337</v>
      </c>
      <c r="H59" s="8">
        <v>14502</v>
      </c>
      <c r="I59" s="32">
        <f t="shared" si="15"/>
        <v>5</v>
      </c>
      <c r="J59" s="41">
        <f t="shared" si="12"/>
        <v>38433</v>
      </c>
      <c r="K59" s="11" t="s">
        <v>25</v>
      </c>
      <c r="L59" s="10">
        <v>14576</v>
      </c>
      <c r="M59" s="30">
        <f t="shared" si="10"/>
        <v>0</v>
      </c>
      <c r="N59" s="43">
        <f t="shared" si="13"/>
        <v>38464</v>
      </c>
      <c r="O59" s="13">
        <v>0.77083333333333337</v>
      </c>
      <c r="P59" s="12">
        <v>14642</v>
      </c>
      <c r="Q59" s="23">
        <f t="shared" si="14"/>
        <v>3</v>
      </c>
    </row>
    <row r="60" spans="6:17" x14ac:dyDescent="0.2">
      <c r="F60" s="38">
        <f t="shared" si="11"/>
        <v>38406</v>
      </c>
      <c r="G60" s="9" t="s">
        <v>25</v>
      </c>
      <c r="H60" s="8">
        <v>14502</v>
      </c>
      <c r="I60" s="32">
        <f t="shared" si="15"/>
        <v>0</v>
      </c>
      <c r="J60" s="41">
        <f t="shared" si="12"/>
        <v>38434</v>
      </c>
      <c r="K60" s="11" t="s">
        <v>52</v>
      </c>
      <c r="L60" s="10">
        <v>14576</v>
      </c>
      <c r="M60" s="30">
        <f t="shared" si="10"/>
        <v>0</v>
      </c>
      <c r="N60" s="43">
        <f t="shared" si="13"/>
        <v>38465</v>
      </c>
      <c r="O60" s="13">
        <v>0.77083333333333337</v>
      </c>
      <c r="P60" s="12">
        <v>14643</v>
      </c>
      <c r="Q60" s="23">
        <f t="shared" si="14"/>
        <v>1</v>
      </c>
    </row>
    <row r="61" spans="6:17" x14ac:dyDescent="0.2">
      <c r="F61" s="38">
        <f t="shared" si="11"/>
        <v>38407</v>
      </c>
      <c r="G61" s="8" t="s">
        <v>26</v>
      </c>
      <c r="H61" s="8">
        <v>14502</v>
      </c>
      <c r="I61" s="32">
        <f t="shared" si="15"/>
        <v>0</v>
      </c>
      <c r="J61" s="41">
        <f t="shared" si="12"/>
        <v>38435</v>
      </c>
      <c r="K61" s="11" t="s">
        <v>35</v>
      </c>
      <c r="L61" s="10">
        <v>14576</v>
      </c>
      <c r="M61" s="30">
        <f t="shared" si="10"/>
        <v>0</v>
      </c>
      <c r="N61" s="43">
        <f t="shared" si="13"/>
        <v>38466</v>
      </c>
      <c r="O61" s="13">
        <v>0.77083333333333337</v>
      </c>
      <c r="P61" s="12">
        <v>14644</v>
      </c>
      <c r="Q61" s="23">
        <f t="shared" si="14"/>
        <v>1</v>
      </c>
    </row>
    <row r="62" spans="6:17" x14ac:dyDescent="0.2">
      <c r="F62" s="38">
        <f t="shared" si="11"/>
        <v>38408</v>
      </c>
      <c r="G62" s="9">
        <v>0.77083333333333337</v>
      </c>
      <c r="H62" s="8">
        <v>14511</v>
      </c>
      <c r="I62" s="32">
        <f t="shared" si="15"/>
        <v>9</v>
      </c>
      <c r="J62" s="41">
        <f t="shared" si="12"/>
        <v>38436</v>
      </c>
      <c r="K62" s="11">
        <v>0.77083333333333337</v>
      </c>
      <c r="L62" s="10">
        <v>14589</v>
      </c>
      <c r="M62" s="30">
        <f t="shared" si="10"/>
        <v>13</v>
      </c>
      <c r="N62" s="43">
        <f t="shared" si="13"/>
        <v>38467</v>
      </c>
      <c r="O62" s="12" t="s">
        <v>53</v>
      </c>
      <c r="P62" s="12">
        <v>14644</v>
      </c>
      <c r="Q62" s="23">
        <f t="shared" si="14"/>
        <v>0</v>
      </c>
    </row>
    <row r="63" spans="6:17" x14ac:dyDescent="0.2">
      <c r="F63" s="38">
        <v>38774</v>
      </c>
      <c r="G63" s="9">
        <v>0.77083333333333337</v>
      </c>
      <c r="H63" s="8">
        <v>14516</v>
      </c>
      <c r="I63" s="32">
        <f>IF(AND(I62&lt;&gt;"",H63&lt;&gt;""),H63-H62,"")</f>
        <v>5</v>
      </c>
      <c r="J63" s="41">
        <v>38802</v>
      </c>
      <c r="K63" s="11">
        <v>0.77083333333333337</v>
      </c>
      <c r="L63" s="10">
        <v>14593</v>
      </c>
      <c r="M63" s="30">
        <f t="shared" ref="M63:M68" si="16">IF(AND(M62&lt;&gt;"",L63&lt;&gt;""),L63-L62,"")</f>
        <v>4</v>
      </c>
      <c r="N63" s="43">
        <f t="shared" si="13"/>
        <v>38468</v>
      </c>
      <c r="O63" s="12" t="s">
        <v>25</v>
      </c>
      <c r="P63" s="12">
        <v>14644</v>
      </c>
      <c r="Q63" s="23">
        <f t="shared" si="14"/>
        <v>0</v>
      </c>
    </row>
    <row r="64" spans="6:17" x14ac:dyDescent="0.2">
      <c r="F64" s="38">
        <v>38775</v>
      </c>
      <c r="G64" s="9">
        <v>0.77083333333333337</v>
      </c>
      <c r="H64" s="8">
        <v>14520</v>
      </c>
      <c r="I64" s="32">
        <f>IF(AND(I63&lt;&gt;"",H64&lt;&gt;""),H64-H63,"")</f>
        <v>4</v>
      </c>
      <c r="J64" s="41">
        <v>38803</v>
      </c>
      <c r="K64" s="11">
        <v>0.77083333333333337</v>
      </c>
      <c r="L64" s="10">
        <v>14596</v>
      </c>
      <c r="M64" s="30">
        <f t="shared" si="16"/>
        <v>3</v>
      </c>
      <c r="N64" s="43">
        <f t="shared" si="13"/>
        <v>38469</v>
      </c>
      <c r="O64" s="12" t="s">
        <v>26</v>
      </c>
      <c r="P64" s="12">
        <v>14644</v>
      </c>
      <c r="Q64" s="23">
        <f t="shared" si="14"/>
        <v>0</v>
      </c>
    </row>
    <row r="65" spans="6:17" x14ac:dyDescent="0.2">
      <c r="F65" s="38">
        <v>38776</v>
      </c>
      <c r="G65" s="9">
        <v>0.77083333333333337</v>
      </c>
      <c r="H65" s="8">
        <v>14523</v>
      </c>
      <c r="I65" s="32">
        <f>IF(AND(I64&lt;&gt;"",H65&lt;&gt;""),H65-H64,"")</f>
        <v>3</v>
      </c>
      <c r="J65" s="41">
        <v>38804</v>
      </c>
      <c r="K65" s="11">
        <v>0.77083333333333337</v>
      </c>
      <c r="L65" s="10">
        <v>14599</v>
      </c>
      <c r="M65" s="30">
        <f t="shared" si="16"/>
        <v>3</v>
      </c>
      <c r="N65" s="43">
        <f t="shared" si="13"/>
        <v>38470</v>
      </c>
      <c r="O65" s="13">
        <v>0.77083333333333337</v>
      </c>
      <c r="P65" s="12">
        <v>14644</v>
      </c>
      <c r="Q65" s="23">
        <f t="shared" si="14"/>
        <v>0</v>
      </c>
    </row>
    <row r="66" spans="6:17" x14ac:dyDescent="0.2">
      <c r="F66" s="38">
        <v>39507</v>
      </c>
      <c r="G66" s="9">
        <v>0.77083333333333337</v>
      </c>
      <c r="H66" s="8">
        <v>14526</v>
      </c>
      <c r="I66" s="32">
        <f>IF(AND(I65&lt;&gt;"",H66&lt;&gt;""),H66-H65,"")</f>
        <v>3</v>
      </c>
      <c r="J66" s="41">
        <v>38805</v>
      </c>
      <c r="K66" s="11" t="s">
        <v>25</v>
      </c>
      <c r="L66" s="10">
        <v>14599</v>
      </c>
      <c r="M66" s="30">
        <f t="shared" si="16"/>
        <v>0</v>
      </c>
      <c r="N66" s="43">
        <f t="shared" si="13"/>
        <v>38471</v>
      </c>
      <c r="O66" s="13">
        <v>0.77083333333333337</v>
      </c>
      <c r="P66" s="12">
        <v>14644</v>
      </c>
      <c r="Q66" s="23">
        <f t="shared" si="14"/>
        <v>0</v>
      </c>
    </row>
    <row r="67" spans="6:17" x14ac:dyDescent="0.2">
      <c r="F67" s="38"/>
      <c r="G67" s="8"/>
      <c r="H67" s="8"/>
      <c r="I67" s="32" t="str">
        <f>IF(AND(I61&lt;&gt;"",H67&lt;&gt;""),H67-H61,"")</f>
        <v/>
      </c>
      <c r="J67" s="41">
        <v>38806</v>
      </c>
      <c r="K67" s="11" t="s">
        <v>26</v>
      </c>
      <c r="L67" s="10">
        <v>14599</v>
      </c>
      <c r="M67" s="30">
        <f t="shared" si="16"/>
        <v>0</v>
      </c>
      <c r="N67" s="43">
        <f t="shared" si="13"/>
        <v>38472</v>
      </c>
      <c r="O67" s="13">
        <v>0.77083333333333337</v>
      </c>
      <c r="P67" s="12">
        <v>14645</v>
      </c>
      <c r="Q67" s="23">
        <f t="shared" si="14"/>
        <v>1</v>
      </c>
    </row>
    <row r="68" spans="6:17" x14ac:dyDescent="0.2">
      <c r="F68" s="38"/>
      <c r="G68" s="8"/>
      <c r="H68" s="8"/>
      <c r="I68" s="32" t="str">
        <f>IF(AND(I62&lt;&gt;"",H68&lt;&gt;""),H68-H62,"")</f>
        <v/>
      </c>
      <c r="J68" s="41">
        <v>38807</v>
      </c>
      <c r="K68" s="11">
        <v>0.77083333333333337</v>
      </c>
      <c r="L68" s="10">
        <v>14600</v>
      </c>
      <c r="M68" s="30">
        <f t="shared" si="16"/>
        <v>1</v>
      </c>
      <c r="N68" s="43"/>
      <c r="O68" s="12"/>
      <c r="P68" s="12"/>
      <c r="Q68" s="23" t="str">
        <f>IF(AND(Q62&lt;&gt;"",P68&lt;&gt;""),P68-P62,"")</f>
        <v/>
      </c>
    </row>
    <row r="69" spans="6:17" ht="13.5" thickBot="1" x14ac:dyDescent="0.25">
      <c r="F69" s="39"/>
      <c r="G69" s="25"/>
      <c r="H69" s="16"/>
      <c r="I69" s="33" t="str">
        <f>IF(AND(I68&lt;&gt;"",H69&lt;&gt;""),H69-H68,"")</f>
        <v/>
      </c>
      <c r="J69" s="42"/>
      <c r="K69" s="28"/>
      <c r="L69" s="17"/>
      <c r="M69" s="31" t="str">
        <f t="shared" si="10"/>
        <v/>
      </c>
      <c r="N69" s="44"/>
      <c r="O69" s="18"/>
      <c r="P69" s="18"/>
      <c r="Q69" s="24" t="str">
        <f t="shared" si="14"/>
        <v/>
      </c>
    </row>
    <row r="70" spans="6:17" ht="13.5" thickTop="1" x14ac:dyDescent="0.2"/>
  </sheetData>
  <phoneticPr fontId="0" type="noConversion"/>
  <conditionalFormatting sqref="M4 M38">
    <cfRule type="cellIs" dxfId="3" priority="1" stopIfTrue="1" operator="lessThan">
      <formula>0</formula>
    </cfRule>
  </conditionalFormatting>
  <conditionalFormatting sqref="Q4 Q38">
    <cfRule type="cellIs" dxfId="2" priority="2" stopIfTrue="1" operator="lessThan">
      <formula>0</formula>
    </cfRule>
  </conditionalFormatting>
  <conditionalFormatting sqref="I38">
    <cfRule type="cellIs" dxfId="1" priority="3" stopIfTrue="1" operator="lessThan">
      <formula>0</formula>
    </cfRule>
  </conditionalFormatting>
  <conditionalFormatting sqref="I4">
    <cfRule type="cellIs" dxfId="0" priority="4" stopIfTrue="1" operator="lessThan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workbookViewId="0">
      <selection activeCell="A10" sqref="A10:B10"/>
    </sheetView>
  </sheetViews>
  <sheetFormatPr defaultRowHeight="12.75" x14ac:dyDescent="0.2"/>
  <cols>
    <col min="1" max="1" width="25" style="1" bestFit="1" customWidth="1"/>
    <col min="2" max="2" width="9.42578125" style="2" bestFit="1" customWidth="1"/>
    <col min="3" max="3" width="6.5703125" style="3" bestFit="1" customWidth="1"/>
    <col min="4" max="4" width="8.140625" style="3" bestFit="1" customWidth="1"/>
    <col min="5" max="5" width="4.7109375" style="14" customWidth="1"/>
    <col min="6" max="6" width="9.28515625" style="36" bestFit="1" customWidth="1"/>
    <col min="7" max="7" width="5.7109375" style="1" bestFit="1" customWidth="1"/>
    <col min="8" max="8" width="7" style="1" bestFit="1" customWidth="1"/>
    <col min="9" max="9" width="7" style="15" bestFit="1" customWidth="1"/>
    <col min="10" max="10" width="8.42578125" style="40" bestFit="1" customWidth="1"/>
    <col min="11" max="11" width="5.5703125" style="34" bestFit="1" customWidth="1"/>
    <col min="12" max="12" width="6.7109375" style="58" bestFit="1" customWidth="1"/>
    <col min="13" max="13" width="6.85546875" style="14" bestFit="1" customWidth="1"/>
    <col min="14" max="14" width="8.140625" style="40" bestFit="1" customWidth="1"/>
    <col min="15" max="15" width="5.5703125" style="14" bestFit="1" customWidth="1"/>
    <col min="16" max="16" width="6.7109375" style="14" bestFit="1" customWidth="1"/>
    <col min="17" max="17" width="8" style="14" bestFit="1" customWidth="1"/>
    <col min="18" max="16384" width="9.140625" style="14"/>
  </cols>
  <sheetData>
    <row r="1" spans="1:17" ht="13.5" thickBot="1" x14ac:dyDescent="0.25">
      <c r="L1" s="56"/>
    </row>
    <row r="2" spans="1:17" ht="13.5" thickTop="1" x14ac:dyDescent="0.2">
      <c r="A2" s="1" t="s">
        <v>24</v>
      </c>
      <c r="B2" s="55">
        <f>D43</f>
        <v>181.33019999999999</v>
      </c>
      <c r="F2" s="37" t="s">
        <v>19</v>
      </c>
      <c r="G2" s="19" t="s">
        <v>10</v>
      </c>
      <c r="H2" s="19" t="s">
        <v>9</v>
      </c>
      <c r="I2" s="47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F3" s="38"/>
      <c r="G3" s="8"/>
      <c r="H3" s="8"/>
      <c r="I3" s="32"/>
      <c r="J3" s="46"/>
      <c r="K3" s="11"/>
      <c r="L3" s="10"/>
      <c r="M3" s="30"/>
      <c r="N3" s="49"/>
      <c r="O3" s="12"/>
      <c r="P3" s="12"/>
      <c r="Q3" s="23"/>
    </row>
    <row r="4" spans="1:17" x14ac:dyDescent="0.2">
      <c r="F4" s="38">
        <v>39027</v>
      </c>
      <c r="G4" s="9">
        <v>0.77083333333333337</v>
      </c>
      <c r="H4" s="8">
        <v>13341</v>
      </c>
      <c r="I4" s="32">
        <f>H4-H3</f>
        <v>13341</v>
      </c>
      <c r="J4" s="46">
        <v>38687</v>
      </c>
      <c r="K4" s="11">
        <v>0.76041666666666663</v>
      </c>
      <c r="L4" s="10">
        <v>13404</v>
      </c>
      <c r="M4" s="30">
        <f>IF(AND(I30&lt;&gt;"",L4&lt;&gt;""),L4-L3,L4-MAX(H4:H30))</f>
        <v>4</v>
      </c>
      <c r="N4" s="43">
        <v>38353</v>
      </c>
      <c r="O4" s="13" t="s">
        <v>33</v>
      </c>
      <c r="P4" s="12">
        <v>13554</v>
      </c>
      <c r="Q4" s="23">
        <f>IF(AND(M35&lt;&gt;"",P4&lt;&gt;""),P4-P3,P4-MAX(L4:L34))</f>
        <v>0</v>
      </c>
    </row>
    <row r="5" spans="1:17" x14ac:dyDescent="0.2">
      <c r="A5" s="1" t="s">
        <v>27</v>
      </c>
      <c r="B5" s="26">
        <v>31.4</v>
      </c>
      <c r="F5" s="38">
        <f>F4+1</f>
        <v>39028</v>
      </c>
      <c r="G5" s="9">
        <v>0.77083333333333337</v>
      </c>
      <c r="H5" s="8">
        <v>13344</v>
      </c>
      <c r="I5" s="32">
        <f>IF(AND(I4&lt;&gt;"",H5&lt;&gt;""),H5-H4,"")</f>
        <v>3</v>
      </c>
      <c r="J5" s="41">
        <f>J4+1</f>
        <v>38688</v>
      </c>
      <c r="K5" s="11" t="s">
        <v>25</v>
      </c>
      <c r="L5" s="10">
        <v>13404</v>
      </c>
      <c r="M5" s="30">
        <f>IF(AND(M4&lt;&gt;"",L5&lt;&gt;""),L5-L4,"")</f>
        <v>0</v>
      </c>
      <c r="N5" s="43">
        <f>N4+1</f>
        <v>38354</v>
      </c>
      <c r="O5" s="13">
        <v>0.76041666666666663</v>
      </c>
      <c r="P5" s="12">
        <v>13582</v>
      </c>
      <c r="Q5" s="23">
        <f>IF(AND(Q4&lt;&gt;"",P5&lt;&gt;""),P5-P4,"")</f>
        <v>28</v>
      </c>
    </row>
    <row r="6" spans="1:17" x14ac:dyDescent="0.2">
      <c r="A6" s="1" t="s">
        <v>37</v>
      </c>
      <c r="B6" s="26">
        <v>188.92</v>
      </c>
      <c r="F6" s="38">
        <f t="shared" ref="F6:F28" si="0">F5+1</f>
        <v>39029</v>
      </c>
      <c r="G6" s="9">
        <v>0.76041666666666663</v>
      </c>
      <c r="H6" s="8">
        <v>13347</v>
      </c>
      <c r="I6" s="32">
        <f t="shared" ref="I6:I29" si="1">IF(AND(I5&lt;&gt;"",H6&lt;&gt;""),H6-H5,"")</f>
        <v>3</v>
      </c>
      <c r="J6" s="41">
        <f t="shared" ref="J6:J29" si="2">J5+1</f>
        <v>38689</v>
      </c>
      <c r="K6" s="11" t="s">
        <v>26</v>
      </c>
      <c r="L6" s="10">
        <v>13404</v>
      </c>
      <c r="M6" s="30">
        <f>IF(AND(M5&lt;&gt;"",L6&lt;&gt;""),L6-L5,"")</f>
        <v>0</v>
      </c>
      <c r="N6" s="43">
        <f t="shared" ref="N6:N29" si="3">N5+1</f>
        <v>38355</v>
      </c>
      <c r="O6" s="13">
        <v>0.76041666666666663</v>
      </c>
      <c r="P6" s="12">
        <v>13588</v>
      </c>
      <c r="Q6" s="23">
        <f t="shared" ref="Q6:Q29" si="4">IF(AND(Q5&lt;&gt;"",P6&lt;&gt;""),P6-P5,"")</f>
        <v>6</v>
      </c>
    </row>
    <row r="7" spans="1:17" x14ac:dyDescent="0.2">
      <c r="A7" s="1" t="s">
        <v>36</v>
      </c>
      <c r="B7" s="26">
        <v>188.32</v>
      </c>
      <c r="F7" s="38">
        <f t="shared" si="0"/>
        <v>39030</v>
      </c>
      <c r="G7" s="9">
        <v>0.76041666666666663</v>
      </c>
      <c r="H7" s="8">
        <v>13349</v>
      </c>
      <c r="I7" s="32">
        <f t="shared" si="1"/>
        <v>2</v>
      </c>
      <c r="J7" s="41">
        <f t="shared" si="2"/>
        <v>38690</v>
      </c>
      <c r="K7" s="11">
        <v>0.76041666666666663</v>
      </c>
      <c r="L7" s="10">
        <v>13413</v>
      </c>
      <c r="M7" s="30">
        <f>IF(AND(M6&lt;&gt;"",L7&lt;&gt;""),L7-L6,"")</f>
        <v>9</v>
      </c>
      <c r="N7" s="43">
        <f t="shared" si="3"/>
        <v>38356</v>
      </c>
      <c r="O7" s="13">
        <v>0.76041666666666663</v>
      </c>
      <c r="P7" s="12">
        <v>13593</v>
      </c>
      <c r="Q7" s="23">
        <f t="shared" si="4"/>
        <v>5</v>
      </c>
    </row>
    <row r="8" spans="1:17" x14ac:dyDescent="0.2">
      <c r="B8" s="26"/>
      <c r="F8" s="38">
        <f t="shared" si="0"/>
        <v>39031</v>
      </c>
      <c r="G8" s="9">
        <v>0.76041666666666663</v>
      </c>
      <c r="H8" s="8">
        <v>13351</v>
      </c>
      <c r="I8" s="32">
        <f t="shared" si="1"/>
        <v>2</v>
      </c>
      <c r="J8" s="41">
        <f t="shared" si="2"/>
        <v>38691</v>
      </c>
      <c r="K8" s="11">
        <v>0.76041666666666663</v>
      </c>
      <c r="L8" s="10">
        <v>13417</v>
      </c>
      <c r="M8" s="30">
        <f>IF(AND(M7&lt;&gt;"",L8&lt;&gt;""),L8-L7,"")</f>
        <v>4</v>
      </c>
      <c r="N8" s="43">
        <f t="shared" si="3"/>
        <v>38357</v>
      </c>
      <c r="O8" s="13">
        <v>0.76041666666666663</v>
      </c>
      <c r="P8" s="12">
        <v>13600</v>
      </c>
      <c r="Q8" s="23">
        <f t="shared" si="4"/>
        <v>7</v>
      </c>
    </row>
    <row r="9" spans="1:17" x14ac:dyDescent="0.2">
      <c r="A9" s="1" t="s">
        <v>64</v>
      </c>
      <c r="B9" s="62">
        <f>(MAX(P38,P54)-MIN(H4,H28))</f>
        <v>607</v>
      </c>
      <c r="F9" s="38">
        <f t="shared" si="0"/>
        <v>39032</v>
      </c>
      <c r="G9" s="9" t="s">
        <v>25</v>
      </c>
      <c r="H9" s="8">
        <v>13351</v>
      </c>
      <c r="I9" s="32">
        <f t="shared" si="1"/>
        <v>0</v>
      </c>
      <c r="J9" s="41">
        <f t="shared" si="2"/>
        <v>38692</v>
      </c>
      <c r="K9" s="11">
        <v>0.76041666666666663</v>
      </c>
      <c r="L9" s="10">
        <v>13421</v>
      </c>
      <c r="M9" s="30">
        <f>IF(AND(M8&lt;&gt;"",L9&lt;&gt;""),L9-L8,"")</f>
        <v>4</v>
      </c>
      <c r="N9" s="43">
        <f t="shared" si="3"/>
        <v>38358</v>
      </c>
      <c r="O9" s="13" t="s">
        <v>25</v>
      </c>
      <c r="P9" s="12">
        <v>13600</v>
      </c>
      <c r="Q9" s="23">
        <f t="shared" si="4"/>
        <v>0</v>
      </c>
    </row>
    <row r="10" spans="1:17" x14ac:dyDescent="0.2">
      <c r="A10" s="63" t="s">
        <v>28</v>
      </c>
      <c r="B10" s="64">
        <f>SUM(B5:B8)</f>
        <v>408.64</v>
      </c>
      <c r="F10" s="38">
        <f t="shared" si="0"/>
        <v>39033</v>
      </c>
      <c r="G10" s="9" t="s">
        <v>26</v>
      </c>
      <c r="H10" s="8">
        <v>13351</v>
      </c>
      <c r="I10" s="32">
        <f t="shared" si="1"/>
        <v>0</v>
      </c>
      <c r="J10" s="41">
        <f t="shared" si="2"/>
        <v>38693</v>
      </c>
      <c r="K10" s="11">
        <v>0.76041666666666663</v>
      </c>
      <c r="L10" s="10">
        <v>13425</v>
      </c>
      <c r="M10" s="30">
        <f t="shared" ref="M10:M29" si="5">IF(AND(M9&lt;&gt;"",L10&lt;&gt;""),L10-L9,"")</f>
        <v>4</v>
      </c>
      <c r="N10" s="43">
        <f t="shared" si="3"/>
        <v>38359</v>
      </c>
      <c r="O10" s="13" t="s">
        <v>26</v>
      </c>
      <c r="P10" s="12">
        <v>13600</v>
      </c>
      <c r="Q10" s="23">
        <f t="shared" si="4"/>
        <v>0</v>
      </c>
    </row>
    <row r="11" spans="1:17" x14ac:dyDescent="0.2">
      <c r="A11" s="1" t="s">
        <v>38</v>
      </c>
      <c r="B11" s="26">
        <f>188.32-181.33</f>
        <v>6.9899999999999807</v>
      </c>
      <c r="F11" s="38">
        <f t="shared" si="0"/>
        <v>39034</v>
      </c>
      <c r="G11" s="9">
        <v>0.76041666666666663</v>
      </c>
      <c r="H11" s="8">
        <v>13357</v>
      </c>
      <c r="I11" s="32">
        <f t="shared" si="1"/>
        <v>6</v>
      </c>
      <c r="J11" s="41">
        <f t="shared" si="2"/>
        <v>38694</v>
      </c>
      <c r="K11" s="11" t="s">
        <v>30</v>
      </c>
      <c r="L11" s="10">
        <v>13425</v>
      </c>
      <c r="M11" s="30">
        <f t="shared" si="5"/>
        <v>0</v>
      </c>
      <c r="N11" s="43">
        <f t="shared" si="3"/>
        <v>38360</v>
      </c>
      <c r="O11" s="13">
        <v>0.76041666666666663</v>
      </c>
      <c r="P11" s="12">
        <v>13614</v>
      </c>
      <c r="Q11" s="23">
        <f t="shared" si="4"/>
        <v>14</v>
      </c>
    </row>
    <row r="12" spans="1:17" x14ac:dyDescent="0.2">
      <c r="B12" s="54"/>
      <c r="F12" s="38">
        <f t="shared" si="0"/>
        <v>39035</v>
      </c>
      <c r="G12" s="9">
        <v>0.76041666666666663</v>
      </c>
      <c r="H12" s="8">
        <v>13360</v>
      </c>
      <c r="I12" s="32">
        <f t="shared" si="1"/>
        <v>3</v>
      </c>
      <c r="J12" s="41">
        <f t="shared" si="2"/>
        <v>38695</v>
      </c>
      <c r="K12" s="11" t="s">
        <v>25</v>
      </c>
      <c r="L12" s="10">
        <v>13425</v>
      </c>
      <c r="M12" s="30">
        <f t="shared" si="5"/>
        <v>0</v>
      </c>
      <c r="N12" s="43">
        <f t="shared" si="3"/>
        <v>38361</v>
      </c>
      <c r="O12" s="13">
        <v>0.76041666666666663</v>
      </c>
      <c r="P12" s="12">
        <v>13619</v>
      </c>
      <c r="Q12" s="23">
        <f t="shared" si="4"/>
        <v>5</v>
      </c>
    </row>
    <row r="13" spans="1:17" x14ac:dyDescent="0.2">
      <c r="F13" s="38">
        <f t="shared" si="0"/>
        <v>39036</v>
      </c>
      <c r="G13" s="9">
        <v>0.76041666666666663</v>
      </c>
      <c r="H13" s="8">
        <v>13363</v>
      </c>
      <c r="I13" s="32">
        <f t="shared" si="1"/>
        <v>3</v>
      </c>
      <c r="J13" s="41">
        <f t="shared" si="2"/>
        <v>38696</v>
      </c>
      <c r="K13" s="11" t="s">
        <v>26</v>
      </c>
      <c r="L13" s="10">
        <v>13425</v>
      </c>
      <c r="M13" s="30">
        <f t="shared" si="5"/>
        <v>0</v>
      </c>
      <c r="N13" s="43">
        <f t="shared" si="3"/>
        <v>38362</v>
      </c>
      <c r="O13" s="13">
        <v>0.76041666666666663</v>
      </c>
      <c r="P13" s="12">
        <v>13624</v>
      </c>
      <c r="Q13" s="23">
        <f>IF(AND(Q12&lt;&gt;"",P13&lt;&gt;""),P13-P12,"")</f>
        <v>5</v>
      </c>
    </row>
    <row r="14" spans="1:17" x14ac:dyDescent="0.2">
      <c r="A14" s="1" t="s">
        <v>42</v>
      </c>
      <c r="B14" s="2">
        <v>13958</v>
      </c>
      <c r="F14" s="38">
        <f t="shared" si="0"/>
        <v>39037</v>
      </c>
      <c r="G14" s="9">
        <v>0.76041666666666663</v>
      </c>
      <c r="H14" s="8">
        <v>13366</v>
      </c>
      <c r="I14" s="32">
        <f t="shared" si="1"/>
        <v>3</v>
      </c>
      <c r="J14" s="41">
        <f t="shared" si="2"/>
        <v>38697</v>
      </c>
      <c r="K14" s="11">
        <v>0.76041666666666663</v>
      </c>
      <c r="L14" s="10">
        <v>13434</v>
      </c>
      <c r="M14" s="30">
        <f t="shared" si="5"/>
        <v>9</v>
      </c>
      <c r="N14" s="43">
        <f t="shared" si="3"/>
        <v>38363</v>
      </c>
      <c r="O14" s="13">
        <v>0.76041666666666663</v>
      </c>
      <c r="P14" s="12">
        <v>13628</v>
      </c>
      <c r="Q14" s="23">
        <f t="shared" si="4"/>
        <v>4</v>
      </c>
    </row>
    <row r="15" spans="1:17" x14ac:dyDescent="0.2">
      <c r="A15" s="1" t="s">
        <v>43</v>
      </c>
      <c r="B15" s="2">
        <v>13948</v>
      </c>
      <c r="F15" s="38">
        <f t="shared" si="0"/>
        <v>39038</v>
      </c>
      <c r="G15" s="9">
        <v>0.76041666666666663</v>
      </c>
      <c r="H15" s="8">
        <v>13368</v>
      </c>
      <c r="I15" s="32">
        <f t="shared" si="1"/>
        <v>2</v>
      </c>
      <c r="J15" s="41">
        <f t="shared" si="2"/>
        <v>38698</v>
      </c>
      <c r="K15" s="11">
        <v>0.76041666666666663</v>
      </c>
      <c r="L15" s="10">
        <v>13443</v>
      </c>
      <c r="M15" s="30">
        <f t="shared" si="5"/>
        <v>9</v>
      </c>
      <c r="N15" s="43">
        <f t="shared" si="3"/>
        <v>38364</v>
      </c>
      <c r="O15" s="13">
        <v>0.76041666666666663</v>
      </c>
      <c r="P15" s="12">
        <v>13631</v>
      </c>
      <c r="Q15" s="23">
        <f t="shared" si="4"/>
        <v>3</v>
      </c>
    </row>
    <row r="16" spans="1:17" x14ac:dyDescent="0.2">
      <c r="F16" s="38">
        <f t="shared" si="0"/>
        <v>39039</v>
      </c>
      <c r="G16" s="9" t="s">
        <v>25</v>
      </c>
      <c r="H16" s="8">
        <v>13368</v>
      </c>
      <c r="I16" s="32">
        <f t="shared" si="1"/>
        <v>0</v>
      </c>
      <c r="J16" s="41">
        <f t="shared" si="2"/>
        <v>38699</v>
      </c>
      <c r="K16" s="11">
        <v>0.76041666666666663</v>
      </c>
      <c r="L16" s="10">
        <v>13449</v>
      </c>
      <c r="M16" s="30">
        <f t="shared" si="5"/>
        <v>6</v>
      </c>
      <c r="N16" s="43">
        <f t="shared" si="3"/>
        <v>38365</v>
      </c>
      <c r="O16" s="13" t="s">
        <v>25</v>
      </c>
      <c r="P16" s="12">
        <v>13631</v>
      </c>
      <c r="Q16" s="23">
        <f t="shared" si="4"/>
        <v>0</v>
      </c>
    </row>
    <row r="17" spans="1:17" x14ac:dyDescent="0.2">
      <c r="F17" s="38">
        <f t="shared" si="0"/>
        <v>39040</v>
      </c>
      <c r="G17" s="9" t="s">
        <v>26</v>
      </c>
      <c r="H17" s="8">
        <v>13368</v>
      </c>
      <c r="I17" s="32">
        <f t="shared" si="1"/>
        <v>0</v>
      </c>
      <c r="J17" s="41">
        <f t="shared" si="2"/>
        <v>38700</v>
      </c>
      <c r="K17" s="11">
        <v>0.76041666666666663</v>
      </c>
      <c r="L17" s="10">
        <v>13455</v>
      </c>
      <c r="M17" s="30">
        <f t="shared" si="5"/>
        <v>6</v>
      </c>
      <c r="N17" s="43">
        <f t="shared" si="3"/>
        <v>38366</v>
      </c>
      <c r="O17" s="13" t="s">
        <v>26</v>
      </c>
      <c r="P17" s="12">
        <v>13631</v>
      </c>
      <c r="Q17" s="23">
        <f t="shared" si="4"/>
        <v>0</v>
      </c>
    </row>
    <row r="18" spans="1:17" x14ac:dyDescent="0.2">
      <c r="F18" s="38">
        <f t="shared" si="0"/>
        <v>39041</v>
      </c>
      <c r="G18" s="9">
        <v>0.76041666666666663</v>
      </c>
      <c r="H18" s="8">
        <v>13372</v>
      </c>
      <c r="I18" s="32">
        <f t="shared" si="1"/>
        <v>4</v>
      </c>
      <c r="J18" s="41">
        <f t="shared" si="2"/>
        <v>38701</v>
      </c>
      <c r="K18" s="11">
        <v>0.76041666666666663</v>
      </c>
      <c r="L18" s="10">
        <v>13461</v>
      </c>
      <c r="M18" s="30">
        <f t="shared" si="5"/>
        <v>6</v>
      </c>
      <c r="N18" s="43">
        <f t="shared" si="3"/>
        <v>38367</v>
      </c>
      <c r="O18" s="13">
        <v>0.76041666666666663</v>
      </c>
      <c r="P18" s="12">
        <v>13642</v>
      </c>
      <c r="Q18" s="23">
        <f t="shared" si="4"/>
        <v>11</v>
      </c>
    </row>
    <row r="19" spans="1:17" x14ac:dyDescent="0.2">
      <c r="F19" s="38">
        <f t="shared" si="0"/>
        <v>39042</v>
      </c>
      <c r="G19" s="9">
        <v>0.76041666666666663</v>
      </c>
      <c r="H19" s="8">
        <v>13375</v>
      </c>
      <c r="I19" s="32">
        <f t="shared" si="1"/>
        <v>3</v>
      </c>
      <c r="J19" s="41">
        <f t="shared" si="2"/>
        <v>38702</v>
      </c>
      <c r="K19" s="11" t="s">
        <v>25</v>
      </c>
      <c r="L19" s="10">
        <v>13461</v>
      </c>
      <c r="M19" s="30">
        <f t="shared" si="5"/>
        <v>0</v>
      </c>
      <c r="N19" s="43">
        <f t="shared" si="3"/>
        <v>38368</v>
      </c>
      <c r="O19" s="13">
        <v>0.76041666666666663</v>
      </c>
      <c r="P19" s="12">
        <v>13648</v>
      </c>
      <c r="Q19" s="23">
        <f t="shared" si="4"/>
        <v>6</v>
      </c>
    </row>
    <row r="20" spans="1:17" x14ac:dyDescent="0.2">
      <c r="F20" s="38">
        <f t="shared" si="0"/>
        <v>39043</v>
      </c>
      <c r="G20" s="9">
        <v>0.76041666666666663</v>
      </c>
      <c r="H20" s="8">
        <v>13378</v>
      </c>
      <c r="I20" s="32">
        <f t="shared" si="1"/>
        <v>3</v>
      </c>
      <c r="J20" s="41">
        <f t="shared" si="2"/>
        <v>38703</v>
      </c>
      <c r="K20" s="11" t="s">
        <v>26</v>
      </c>
      <c r="L20" s="10">
        <v>13461</v>
      </c>
      <c r="M20" s="30">
        <f t="shared" si="5"/>
        <v>0</v>
      </c>
      <c r="N20" s="43">
        <f t="shared" si="3"/>
        <v>38369</v>
      </c>
      <c r="O20" s="13">
        <v>0.76041666666666663</v>
      </c>
      <c r="P20" s="12">
        <v>13654</v>
      </c>
      <c r="Q20" s="23">
        <f t="shared" si="4"/>
        <v>6</v>
      </c>
    </row>
    <row r="21" spans="1:17" x14ac:dyDescent="0.2">
      <c r="F21" s="38">
        <f t="shared" si="0"/>
        <v>39044</v>
      </c>
      <c r="G21" s="9">
        <v>0.76041666666666663</v>
      </c>
      <c r="H21" s="8">
        <v>13382</v>
      </c>
      <c r="I21" s="32">
        <f t="shared" si="1"/>
        <v>4</v>
      </c>
      <c r="J21" s="41">
        <f t="shared" si="2"/>
        <v>38704</v>
      </c>
      <c r="K21" s="11">
        <v>0.76041666666666663</v>
      </c>
      <c r="L21" s="10">
        <v>13472</v>
      </c>
      <c r="M21" s="30">
        <f t="shared" si="5"/>
        <v>11</v>
      </c>
      <c r="N21" s="43">
        <f t="shared" si="3"/>
        <v>38370</v>
      </c>
      <c r="O21" s="13">
        <v>0.76041666666666663</v>
      </c>
      <c r="P21" s="12">
        <v>13660</v>
      </c>
      <c r="Q21" s="23">
        <f t="shared" si="4"/>
        <v>6</v>
      </c>
    </row>
    <row r="22" spans="1:17" x14ac:dyDescent="0.2">
      <c r="D22" s="26"/>
      <c r="F22" s="38">
        <f t="shared" si="0"/>
        <v>39045</v>
      </c>
      <c r="G22" s="9">
        <v>0.76041666666666663</v>
      </c>
      <c r="H22" s="8">
        <v>13385</v>
      </c>
      <c r="I22" s="32">
        <f t="shared" si="1"/>
        <v>3</v>
      </c>
      <c r="J22" s="41">
        <f t="shared" si="2"/>
        <v>38705</v>
      </c>
      <c r="K22" s="11">
        <v>0.76041666666666663</v>
      </c>
      <c r="L22" s="10">
        <v>13479</v>
      </c>
      <c r="M22" s="30">
        <f t="shared" si="5"/>
        <v>7</v>
      </c>
      <c r="N22" s="43">
        <f t="shared" si="3"/>
        <v>38371</v>
      </c>
      <c r="O22" s="13">
        <v>0.76041666666666663</v>
      </c>
      <c r="P22" s="12">
        <v>13665</v>
      </c>
      <c r="Q22" s="23">
        <f t="shared" si="4"/>
        <v>5</v>
      </c>
    </row>
    <row r="23" spans="1:17" x14ac:dyDescent="0.2">
      <c r="F23" s="38">
        <f t="shared" si="0"/>
        <v>39046</v>
      </c>
      <c r="G23" s="8" t="s">
        <v>25</v>
      </c>
      <c r="H23" s="8">
        <v>13385</v>
      </c>
      <c r="I23" s="32">
        <f t="shared" si="1"/>
        <v>0</v>
      </c>
      <c r="J23" s="41">
        <f t="shared" si="2"/>
        <v>38706</v>
      </c>
      <c r="K23" s="11">
        <v>0.76041666666666663</v>
      </c>
      <c r="L23" s="10">
        <v>13485</v>
      </c>
      <c r="M23" s="30">
        <f t="shared" si="5"/>
        <v>6</v>
      </c>
      <c r="N23" s="43">
        <f t="shared" si="3"/>
        <v>38372</v>
      </c>
      <c r="O23" s="13" t="s">
        <v>25</v>
      </c>
      <c r="P23" s="12">
        <v>13665</v>
      </c>
      <c r="Q23" s="23">
        <f t="shared" si="4"/>
        <v>0</v>
      </c>
    </row>
    <row r="24" spans="1:17" x14ac:dyDescent="0.2">
      <c r="B24" s="3"/>
      <c r="F24" s="38">
        <f t="shared" si="0"/>
        <v>39047</v>
      </c>
      <c r="G24" s="9" t="s">
        <v>26</v>
      </c>
      <c r="H24" s="8">
        <v>13385</v>
      </c>
      <c r="I24" s="32">
        <f t="shared" si="1"/>
        <v>0</v>
      </c>
      <c r="J24" s="41">
        <f t="shared" si="2"/>
        <v>38707</v>
      </c>
      <c r="K24" s="11">
        <v>0.76041666666666663</v>
      </c>
      <c r="L24" s="10">
        <v>13492</v>
      </c>
      <c r="M24" s="30">
        <f t="shared" si="5"/>
        <v>7</v>
      </c>
      <c r="N24" s="43">
        <f t="shared" si="3"/>
        <v>38373</v>
      </c>
      <c r="O24" s="13" t="s">
        <v>26</v>
      </c>
      <c r="P24" s="12">
        <v>13665</v>
      </c>
      <c r="Q24" s="23">
        <f t="shared" si="4"/>
        <v>0</v>
      </c>
    </row>
    <row r="25" spans="1:17" x14ac:dyDescent="0.2">
      <c r="D25" s="26"/>
      <c r="F25" s="38">
        <f t="shared" si="0"/>
        <v>39048</v>
      </c>
      <c r="G25" s="9">
        <v>0.76041666666666663</v>
      </c>
      <c r="H25" s="8">
        <v>13391</v>
      </c>
      <c r="I25" s="32">
        <f t="shared" si="1"/>
        <v>6</v>
      </c>
      <c r="J25" s="41">
        <f t="shared" si="2"/>
        <v>38708</v>
      </c>
      <c r="K25" s="11">
        <v>0.76041666666666663</v>
      </c>
      <c r="L25" s="10">
        <v>13499</v>
      </c>
      <c r="M25" s="30">
        <f t="shared" si="5"/>
        <v>7</v>
      </c>
      <c r="N25" s="43">
        <f t="shared" si="3"/>
        <v>38374</v>
      </c>
      <c r="O25" s="13">
        <v>0.76041666666666663</v>
      </c>
      <c r="P25" s="12">
        <v>13674</v>
      </c>
      <c r="Q25" s="23">
        <f t="shared" si="4"/>
        <v>9</v>
      </c>
    </row>
    <row r="26" spans="1:17" x14ac:dyDescent="0.2">
      <c r="B26" s="27"/>
      <c r="F26" s="38">
        <f t="shared" si="0"/>
        <v>39049</v>
      </c>
      <c r="G26" s="9">
        <v>0.76041666666666663</v>
      </c>
      <c r="H26" s="8">
        <v>13394</v>
      </c>
      <c r="I26" s="32">
        <f t="shared" si="1"/>
        <v>3</v>
      </c>
      <c r="J26" s="41">
        <f t="shared" si="2"/>
        <v>38709</v>
      </c>
      <c r="K26" s="11" t="s">
        <v>25</v>
      </c>
      <c r="L26" s="10">
        <v>13499</v>
      </c>
      <c r="M26" s="30">
        <f t="shared" si="5"/>
        <v>0</v>
      </c>
      <c r="N26" s="43">
        <f t="shared" si="3"/>
        <v>38375</v>
      </c>
      <c r="O26" s="13">
        <v>0.76041666666666663</v>
      </c>
      <c r="P26" s="12">
        <v>13678</v>
      </c>
      <c r="Q26" s="23">
        <f t="shared" si="4"/>
        <v>4</v>
      </c>
    </row>
    <row r="27" spans="1:17" x14ac:dyDescent="0.2">
      <c r="B27" s="3"/>
      <c r="F27" s="38">
        <f t="shared" si="0"/>
        <v>39050</v>
      </c>
      <c r="G27" s="9">
        <v>0.76041666666666663</v>
      </c>
      <c r="H27" s="8">
        <v>13397</v>
      </c>
      <c r="I27" s="32">
        <f t="shared" si="1"/>
        <v>3</v>
      </c>
      <c r="J27" s="41">
        <f t="shared" si="2"/>
        <v>38710</v>
      </c>
      <c r="K27" s="11" t="s">
        <v>26</v>
      </c>
      <c r="L27" s="10">
        <v>13499</v>
      </c>
      <c r="M27" s="30">
        <f t="shared" si="5"/>
        <v>0</v>
      </c>
      <c r="N27" s="43">
        <f t="shared" si="3"/>
        <v>38376</v>
      </c>
      <c r="O27" s="13">
        <v>0.76041666666666663</v>
      </c>
      <c r="P27" s="12">
        <v>13683</v>
      </c>
      <c r="Q27" s="23">
        <f t="shared" si="4"/>
        <v>5</v>
      </c>
    </row>
    <row r="28" spans="1:17" x14ac:dyDescent="0.2">
      <c r="F28" s="38">
        <f t="shared" si="0"/>
        <v>39051</v>
      </c>
      <c r="G28" s="9">
        <v>0.76041666666666663</v>
      </c>
      <c r="H28" s="8">
        <v>13400</v>
      </c>
      <c r="I28" s="32">
        <f t="shared" si="1"/>
        <v>3</v>
      </c>
      <c r="J28" s="46">
        <f t="shared" si="2"/>
        <v>38711</v>
      </c>
      <c r="K28" s="52" t="s">
        <v>31</v>
      </c>
      <c r="L28" s="53">
        <v>13499</v>
      </c>
      <c r="M28" s="30">
        <f t="shared" si="5"/>
        <v>0</v>
      </c>
      <c r="N28" s="43">
        <f t="shared" si="3"/>
        <v>38377</v>
      </c>
      <c r="O28" s="13">
        <v>0.76041666666666663</v>
      </c>
      <c r="P28" s="12">
        <v>13690</v>
      </c>
      <c r="Q28" s="23">
        <f t="shared" si="4"/>
        <v>7</v>
      </c>
    </row>
    <row r="29" spans="1:17" x14ac:dyDescent="0.2">
      <c r="A29" s="1" t="s">
        <v>29</v>
      </c>
      <c r="B29" s="6" t="s">
        <v>8</v>
      </c>
      <c r="C29" s="4" t="s">
        <v>5</v>
      </c>
      <c r="D29" s="4" t="s">
        <v>6</v>
      </c>
      <c r="F29" s="38"/>
      <c r="G29" s="8"/>
      <c r="H29" s="8"/>
      <c r="I29" s="32" t="str">
        <f t="shared" si="1"/>
        <v/>
      </c>
      <c r="J29" s="41">
        <f t="shared" si="2"/>
        <v>38712</v>
      </c>
      <c r="K29" s="51" t="s">
        <v>32</v>
      </c>
      <c r="L29" s="59">
        <v>13499</v>
      </c>
      <c r="M29" s="30">
        <f t="shared" si="5"/>
        <v>0</v>
      </c>
      <c r="N29" s="43">
        <f t="shared" si="3"/>
        <v>38378</v>
      </c>
      <c r="O29" s="13">
        <v>0.76041666666666663</v>
      </c>
      <c r="P29" s="12">
        <v>13696</v>
      </c>
      <c r="Q29" s="23">
        <f t="shared" si="4"/>
        <v>6</v>
      </c>
    </row>
    <row r="30" spans="1:17" x14ac:dyDescent="0.2">
      <c r="A30" s="5"/>
      <c r="F30" s="38"/>
      <c r="G30" s="8"/>
      <c r="H30" s="8"/>
      <c r="I30" s="32" t="str">
        <f t="shared" ref="I30:I35" si="6">IF(AND(I29&lt;&gt;"",H30&lt;&gt;""),H30-H29,"")</f>
        <v/>
      </c>
      <c r="J30" s="41">
        <f>J29+1</f>
        <v>38713</v>
      </c>
      <c r="K30" s="51">
        <v>0.76041666666666663</v>
      </c>
      <c r="L30" s="59">
        <v>13535</v>
      </c>
      <c r="M30" s="30">
        <f t="shared" ref="M30:M35" si="7">IF(AND(M29&lt;&gt;"",L30&lt;&gt;""),L30-L29,"")</f>
        <v>36</v>
      </c>
      <c r="N30" s="43">
        <f>N29+1</f>
        <v>38379</v>
      </c>
      <c r="O30" s="12" t="s">
        <v>25</v>
      </c>
      <c r="P30" s="12">
        <v>13696</v>
      </c>
      <c r="Q30" s="23">
        <f t="shared" ref="Q30:Q35" si="8">IF(AND(Q29&lt;&gt;"",P30&lt;&gt;""),P30-P29,"")</f>
        <v>0</v>
      </c>
    </row>
    <row r="31" spans="1:17" x14ac:dyDescent="0.2">
      <c r="A31" s="1" t="s">
        <v>0</v>
      </c>
      <c r="B31" s="2">
        <f>"31/03/2007"-"25/01/2007"</f>
        <v>65</v>
      </c>
      <c r="F31" s="38"/>
      <c r="G31" s="8"/>
      <c r="H31" s="8"/>
      <c r="I31" s="32" t="str">
        <f t="shared" si="6"/>
        <v/>
      </c>
      <c r="J31" s="41">
        <f>J30+1</f>
        <v>38714</v>
      </c>
      <c r="K31" s="51">
        <v>0.76041666666666663</v>
      </c>
      <c r="L31" s="59">
        <v>13545</v>
      </c>
      <c r="M31" s="30">
        <f t="shared" si="7"/>
        <v>10</v>
      </c>
      <c r="N31" s="43">
        <f>N30+1</f>
        <v>38380</v>
      </c>
      <c r="O31" s="12" t="s">
        <v>26</v>
      </c>
      <c r="P31" s="12">
        <v>13696</v>
      </c>
      <c r="Q31" s="23">
        <f t="shared" si="8"/>
        <v>0</v>
      </c>
    </row>
    <row r="32" spans="1:17" x14ac:dyDescent="0.2">
      <c r="A32" s="1" t="s">
        <v>4</v>
      </c>
      <c r="B32" s="2">
        <f>MAX(H4:H34, L4:L34,P4:P34, H38:H68, L38:L68, P38:P68)-13688</f>
        <v>260</v>
      </c>
      <c r="F32" s="38"/>
      <c r="G32" s="8"/>
      <c r="H32" s="8"/>
      <c r="I32" s="32" t="str">
        <f t="shared" si="6"/>
        <v/>
      </c>
      <c r="J32" s="41">
        <f>J31+1</f>
        <v>38715</v>
      </c>
      <c r="K32" s="51">
        <v>0.76041666666666663</v>
      </c>
      <c r="L32" s="59">
        <v>13554</v>
      </c>
      <c r="M32" s="30">
        <f t="shared" si="7"/>
        <v>9</v>
      </c>
      <c r="N32" s="43">
        <f>N31+1</f>
        <v>38381</v>
      </c>
      <c r="O32" s="13">
        <v>0.76041666666666663</v>
      </c>
      <c r="P32" s="12">
        <v>13714</v>
      </c>
      <c r="Q32" s="23">
        <f t="shared" si="8"/>
        <v>18</v>
      </c>
    </row>
    <row r="33" spans="1:17" x14ac:dyDescent="0.2">
      <c r="A33" s="1" t="s">
        <v>1</v>
      </c>
      <c r="B33" s="2">
        <f>B31</f>
        <v>65</v>
      </c>
      <c r="C33" s="3">
        <v>8.2192000000000001E-2</v>
      </c>
      <c r="D33" s="3">
        <f t="shared" ref="D33:D41" si="9">B33*C33</f>
        <v>5.3424800000000001</v>
      </c>
      <c r="F33" s="38"/>
      <c r="G33" s="8"/>
      <c r="H33" s="8"/>
      <c r="I33" s="32" t="str">
        <f t="shared" si="6"/>
        <v/>
      </c>
      <c r="J33" s="41">
        <f>J32+1</f>
        <v>38716</v>
      </c>
      <c r="K33" s="51" t="s">
        <v>25</v>
      </c>
      <c r="L33" s="59">
        <v>13554</v>
      </c>
      <c r="M33" s="30">
        <f t="shared" si="7"/>
        <v>0</v>
      </c>
      <c r="N33" s="43">
        <f>N32+1</f>
        <v>38382</v>
      </c>
      <c r="O33" s="13">
        <v>0.76041666666666663</v>
      </c>
      <c r="P33" s="12">
        <v>13720</v>
      </c>
      <c r="Q33" s="23">
        <f t="shared" si="8"/>
        <v>6</v>
      </c>
    </row>
    <row r="34" spans="1:17" x14ac:dyDescent="0.2">
      <c r="A34" s="1" t="s">
        <v>22</v>
      </c>
      <c r="B34" s="2">
        <f>B39</f>
        <v>0</v>
      </c>
      <c r="C34" s="3">
        <v>1.072E-3</v>
      </c>
      <c r="D34" s="3">
        <f t="shared" si="9"/>
        <v>0</v>
      </c>
      <c r="F34" s="38"/>
      <c r="G34" s="8"/>
      <c r="H34" s="8"/>
      <c r="I34" s="32" t="str">
        <f t="shared" si="6"/>
        <v/>
      </c>
      <c r="J34" s="41">
        <f>J33+1</f>
        <v>38717</v>
      </c>
      <c r="K34" s="51" t="s">
        <v>26</v>
      </c>
      <c r="L34" s="59">
        <v>13554</v>
      </c>
      <c r="M34" s="30">
        <f t="shared" si="7"/>
        <v>0</v>
      </c>
      <c r="N34" s="43">
        <f>N33+1</f>
        <v>38383</v>
      </c>
      <c r="O34" s="13">
        <v>0.76041666666666663</v>
      </c>
      <c r="P34" s="12">
        <v>13727</v>
      </c>
      <c r="Q34" s="23">
        <f t="shared" si="8"/>
        <v>7</v>
      </c>
    </row>
    <row r="35" spans="1:17" ht="13.5" thickBot="1" x14ac:dyDescent="0.25">
      <c r="A35" s="1" t="s">
        <v>15</v>
      </c>
      <c r="B35" s="2">
        <f>B40</f>
        <v>260</v>
      </c>
      <c r="C35" s="3">
        <v>6.0767000000000002E-2</v>
      </c>
      <c r="D35" s="3">
        <f t="shared" si="9"/>
        <v>15.79942</v>
      </c>
      <c r="F35" s="38"/>
      <c r="G35" s="8"/>
      <c r="H35" s="8"/>
      <c r="I35" s="32" t="str">
        <f t="shared" si="6"/>
        <v/>
      </c>
      <c r="J35" s="41"/>
      <c r="K35" s="51"/>
      <c r="L35" s="57"/>
      <c r="M35" s="30" t="str">
        <f t="shared" si="7"/>
        <v/>
      </c>
      <c r="N35" s="43"/>
      <c r="O35" s="12"/>
      <c r="P35" s="12"/>
      <c r="Q35" s="23" t="str">
        <f t="shared" si="8"/>
        <v/>
      </c>
    </row>
    <row r="36" spans="1:17" ht="13.5" thickTop="1" x14ac:dyDescent="0.2">
      <c r="A36" s="1" t="s">
        <v>17</v>
      </c>
      <c r="B36" s="2">
        <f>B41</f>
        <v>0</v>
      </c>
      <c r="C36" s="3">
        <v>3.7812999999999999E-2</v>
      </c>
      <c r="D36" s="3">
        <f t="shared" si="9"/>
        <v>0</v>
      </c>
      <c r="F36" s="37" t="s">
        <v>13</v>
      </c>
      <c r="G36" s="19" t="s">
        <v>10</v>
      </c>
      <c r="H36" s="19" t="s">
        <v>9</v>
      </c>
      <c r="I36" s="47" t="s">
        <v>11</v>
      </c>
      <c r="J36" s="45" t="s">
        <v>14</v>
      </c>
      <c r="K36" s="35" t="s">
        <v>10</v>
      </c>
      <c r="L36" s="20" t="s">
        <v>9</v>
      </c>
      <c r="M36" s="50" t="s">
        <v>11</v>
      </c>
      <c r="N36" s="48" t="s">
        <v>21</v>
      </c>
      <c r="O36" s="21" t="s">
        <v>10</v>
      </c>
      <c r="P36" s="21" t="s">
        <v>9</v>
      </c>
      <c r="Q36" s="22" t="s">
        <v>11</v>
      </c>
    </row>
    <row r="37" spans="1:17" x14ac:dyDescent="0.2">
      <c r="A37" s="1" t="s">
        <v>2</v>
      </c>
      <c r="B37" s="2">
        <v>45</v>
      </c>
      <c r="C37" s="29">
        <v>4.6300000000000001E-2</v>
      </c>
      <c r="D37" s="3">
        <f t="shared" si="9"/>
        <v>2.0834999999999999</v>
      </c>
      <c r="F37" s="38"/>
      <c r="G37" s="8"/>
      <c r="H37" s="8"/>
      <c r="I37" s="32"/>
      <c r="J37" s="46"/>
      <c r="K37" s="11"/>
      <c r="L37" s="10"/>
      <c r="M37" s="30"/>
      <c r="N37" s="49"/>
      <c r="O37" s="12"/>
      <c r="P37" s="12"/>
      <c r="Q37" s="23"/>
    </row>
    <row r="38" spans="1:17" x14ac:dyDescent="0.2">
      <c r="A38" s="1" t="s">
        <v>3</v>
      </c>
      <c r="B38" s="2">
        <f>B32-B37</f>
        <v>215</v>
      </c>
      <c r="C38" s="3">
        <v>0.17319999999999999</v>
      </c>
      <c r="D38" s="3">
        <f t="shared" si="9"/>
        <v>37.238</v>
      </c>
      <c r="F38" s="38">
        <v>38384</v>
      </c>
      <c r="G38" s="9">
        <v>0.76041666666666663</v>
      </c>
      <c r="H38" s="8">
        <v>13734</v>
      </c>
      <c r="I38" s="32">
        <f>H38-P34</f>
        <v>7</v>
      </c>
      <c r="J38" s="46">
        <v>38412</v>
      </c>
      <c r="K38" s="11">
        <v>0.76041666666666663</v>
      </c>
      <c r="L38" s="10">
        <v>13860</v>
      </c>
      <c r="M38" s="30">
        <f>IF(AND(I69&lt;&gt;"",L38&lt;&gt;""),L38-L37,L38-MAX(H38:H69))</f>
        <v>4</v>
      </c>
      <c r="N38" s="43">
        <v>38443</v>
      </c>
      <c r="O38" s="13" t="s">
        <v>26</v>
      </c>
      <c r="P38" s="12">
        <v>13929</v>
      </c>
      <c r="Q38" s="23">
        <f>IF(AND(M69&lt;&gt;"",P38&lt;&gt;""),P38-P37,P38-MAX(L38:L69))</f>
        <v>0</v>
      </c>
    </row>
    <row r="39" spans="1:17" x14ac:dyDescent="0.2">
      <c r="A39" s="1" t="s">
        <v>23</v>
      </c>
      <c r="B39" s="2">
        <v>0</v>
      </c>
      <c r="C39" s="3">
        <f>B45</f>
        <v>0.34863499999999997</v>
      </c>
      <c r="D39" s="3">
        <f t="shared" si="9"/>
        <v>0</v>
      </c>
      <c r="F39" s="38">
        <f>F38+1</f>
        <v>38385</v>
      </c>
      <c r="G39" s="9">
        <v>0.76041666666666663</v>
      </c>
      <c r="H39" s="8">
        <v>13741</v>
      </c>
      <c r="I39" s="32">
        <f t="shared" ref="I39:I44" si="10">IF(AND(I38&lt;&gt;"",H39&lt;&gt;""),H39-H38,"")</f>
        <v>7</v>
      </c>
      <c r="J39" s="41">
        <f>J38+1</f>
        <v>38413</v>
      </c>
      <c r="K39" s="11">
        <v>0.76041666666666663</v>
      </c>
      <c r="L39" s="10">
        <v>13862</v>
      </c>
      <c r="M39" s="30">
        <f t="shared" ref="M39:M69" si="11">IF(AND(M38&lt;&gt;"",L39&lt;&gt;""),L39-L38,"")</f>
        <v>2</v>
      </c>
      <c r="N39" s="43">
        <f>N38+1</f>
        <v>38444</v>
      </c>
      <c r="O39" s="13">
        <v>0.76041666666666663</v>
      </c>
      <c r="P39" s="12">
        <v>13935</v>
      </c>
      <c r="Q39" s="23">
        <f>IF(AND(Q38&lt;&gt;"",P39&lt;&gt;""),P39-P38,"")</f>
        <v>6</v>
      </c>
    </row>
    <row r="40" spans="1:17" x14ac:dyDescent="0.2">
      <c r="A40" s="1" t="s">
        <v>16</v>
      </c>
      <c r="B40" s="2">
        <f>B32</f>
        <v>260</v>
      </c>
      <c r="C40" s="3">
        <f>B46</f>
        <v>0.34863499999999997</v>
      </c>
      <c r="D40" s="3">
        <f t="shared" si="9"/>
        <v>90.645099999999999</v>
      </c>
      <c r="F40" s="38">
        <f t="shared" ref="F40:F62" si="12">F39+1</f>
        <v>38386</v>
      </c>
      <c r="G40" s="9" t="s">
        <v>25</v>
      </c>
      <c r="H40" s="8">
        <v>13741</v>
      </c>
      <c r="I40" s="32">
        <f t="shared" si="10"/>
        <v>0</v>
      </c>
      <c r="J40" s="41">
        <f t="shared" ref="J40:J62" si="13">J39+1</f>
        <v>38414</v>
      </c>
      <c r="K40" s="11" t="s">
        <v>25</v>
      </c>
      <c r="L40" s="10">
        <v>13862</v>
      </c>
      <c r="M40" s="30">
        <f t="shared" si="11"/>
        <v>0</v>
      </c>
      <c r="N40" s="43">
        <f t="shared" ref="N40:N67" si="14">N39+1</f>
        <v>38445</v>
      </c>
      <c r="O40" s="13">
        <v>0.76041666666666663</v>
      </c>
      <c r="P40" s="12">
        <v>13937</v>
      </c>
      <c r="Q40" s="23">
        <f t="shared" ref="Q40:Q69" si="15">IF(AND(Q39&lt;&gt;"",P40&lt;&gt;""),P40-P39,"")</f>
        <v>2</v>
      </c>
    </row>
    <row r="41" spans="1:17" x14ac:dyDescent="0.2">
      <c r="A41" s="1" t="s">
        <v>18</v>
      </c>
      <c r="B41" s="2">
        <v>0</v>
      </c>
      <c r="C41" s="29">
        <f>B47</f>
        <v>0.344941</v>
      </c>
      <c r="D41" s="3">
        <f t="shared" si="9"/>
        <v>0</v>
      </c>
      <c r="F41" s="38">
        <f t="shared" si="12"/>
        <v>38387</v>
      </c>
      <c r="G41" s="9" t="s">
        <v>26</v>
      </c>
      <c r="H41" s="8">
        <v>13741</v>
      </c>
      <c r="I41" s="32">
        <f t="shared" si="10"/>
        <v>0</v>
      </c>
      <c r="J41" s="41">
        <f t="shared" si="13"/>
        <v>38415</v>
      </c>
      <c r="K41" s="11" t="s">
        <v>26</v>
      </c>
      <c r="L41" s="10">
        <v>13862</v>
      </c>
      <c r="M41" s="30">
        <f t="shared" si="11"/>
        <v>0</v>
      </c>
      <c r="N41" s="43">
        <f t="shared" si="14"/>
        <v>38446</v>
      </c>
      <c r="O41" s="13">
        <v>0.76041666666666663</v>
      </c>
      <c r="P41" s="12">
        <v>13939</v>
      </c>
      <c r="Q41" s="23">
        <f t="shared" si="15"/>
        <v>2</v>
      </c>
    </row>
    <row r="42" spans="1:17" x14ac:dyDescent="0.2">
      <c r="F42" s="38">
        <f t="shared" si="12"/>
        <v>38388</v>
      </c>
      <c r="G42" s="9">
        <v>0.76041666666666663</v>
      </c>
      <c r="H42" s="8">
        <v>13759</v>
      </c>
      <c r="I42" s="32">
        <f t="shared" si="10"/>
        <v>18</v>
      </c>
      <c r="J42" s="41">
        <f t="shared" si="13"/>
        <v>38416</v>
      </c>
      <c r="K42" s="11">
        <v>0.76041666666666663</v>
      </c>
      <c r="L42" s="10">
        <v>13864</v>
      </c>
      <c r="M42" s="30">
        <f t="shared" si="11"/>
        <v>2</v>
      </c>
      <c r="N42" s="43">
        <f t="shared" si="14"/>
        <v>38447</v>
      </c>
      <c r="O42" s="13">
        <v>0.76041666666666663</v>
      </c>
      <c r="P42" s="12">
        <v>13941</v>
      </c>
      <c r="Q42" s="23">
        <f t="shared" si="15"/>
        <v>2</v>
      </c>
    </row>
    <row r="43" spans="1:17" x14ac:dyDescent="0.2">
      <c r="A43" s="1" t="s">
        <v>7</v>
      </c>
      <c r="D43" s="7">
        <f>SUM(D33:D41)*1.2</f>
        <v>181.33019999999999</v>
      </c>
      <c r="F43" s="38">
        <f t="shared" si="12"/>
        <v>38389</v>
      </c>
      <c r="G43" s="9">
        <v>0.76041666666666663</v>
      </c>
      <c r="H43" s="8">
        <v>13765</v>
      </c>
      <c r="I43" s="32">
        <f t="shared" si="10"/>
        <v>6</v>
      </c>
      <c r="J43" s="41">
        <f t="shared" si="13"/>
        <v>38417</v>
      </c>
      <c r="K43" s="11">
        <v>0.76041666666666663</v>
      </c>
      <c r="L43" s="10">
        <v>13868</v>
      </c>
      <c r="M43" s="30">
        <f t="shared" si="11"/>
        <v>4</v>
      </c>
      <c r="N43" s="43">
        <f t="shared" si="14"/>
        <v>38448</v>
      </c>
      <c r="O43" s="13">
        <v>0.76041666666666663</v>
      </c>
      <c r="P43" s="12">
        <v>13943</v>
      </c>
      <c r="Q43" s="23">
        <f t="shared" si="15"/>
        <v>2</v>
      </c>
    </row>
    <row r="44" spans="1:17" x14ac:dyDescent="0.2">
      <c r="F44" s="38">
        <f t="shared" si="12"/>
        <v>38390</v>
      </c>
      <c r="G44" s="9">
        <v>0.76041666666666663</v>
      </c>
      <c r="H44" s="8">
        <v>13771</v>
      </c>
      <c r="I44" s="32">
        <f t="shared" si="10"/>
        <v>6</v>
      </c>
      <c r="J44" s="41">
        <f t="shared" si="13"/>
        <v>38418</v>
      </c>
      <c r="K44" s="11">
        <v>0.76041666666666663</v>
      </c>
      <c r="L44" s="10">
        <v>13871</v>
      </c>
      <c r="M44" s="30">
        <f t="shared" si="11"/>
        <v>3</v>
      </c>
      <c r="N44" s="43">
        <f t="shared" si="14"/>
        <v>38449</v>
      </c>
      <c r="O44" s="13" t="s">
        <v>25</v>
      </c>
      <c r="P44" s="12">
        <v>13943</v>
      </c>
      <c r="Q44" s="23">
        <f t="shared" si="15"/>
        <v>0</v>
      </c>
    </row>
    <row r="45" spans="1:17" x14ac:dyDescent="0.2">
      <c r="A45" s="1" t="s">
        <v>23</v>
      </c>
      <c r="B45" s="26">
        <v>0.34863499999999997</v>
      </c>
      <c r="D45" s="26"/>
      <c r="F45" s="38">
        <f t="shared" si="12"/>
        <v>38391</v>
      </c>
      <c r="G45" s="9">
        <v>0.76041666666666663</v>
      </c>
      <c r="H45" s="8">
        <v>13777</v>
      </c>
      <c r="I45" s="32">
        <f t="shared" ref="I45:I62" si="16">IF(AND(I44&lt;&gt;"",H45&lt;&gt;""),H45-H44,"")</f>
        <v>6</v>
      </c>
      <c r="J45" s="41">
        <f t="shared" si="13"/>
        <v>38419</v>
      </c>
      <c r="K45" s="11">
        <v>0.76041666666666663</v>
      </c>
      <c r="L45" s="10">
        <v>13873</v>
      </c>
      <c r="M45" s="30">
        <f t="shared" si="11"/>
        <v>2</v>
      </c>
      <c r="N45" s="43">
        <f t="shared" si="14"/>
        <v>38450</v>
      </c>
      <c r="O45" s="13" t="s">
        <v>34</v>
      </c>
      <c r="P45" s="12">
        <v>13943</v>
      </c>
      <c r="Q45" s="23">
        <f t="shared" si="15"/>
        <v>0</v>
      </c>
    </row>
    <row r="46" spans="1:17" x14ac:dyDescent="0.2">
      <c r="A46" s="1" t="s">
        <v>16</v>
      </c>
      <c r="B46" s="26">
        <v>0.34863499999999997</v>
      </c>
      <c r="F46" s="38">
        <f t="shared" si="12"/>
        <v>38392</v>
      </c>
      <c r="G46" s="9">
        <v>0.76041666666666663</v>
      </c>
      <c r="H46" s="8">
        <v>13781</v>
      </c>
      <c r="I46" s="32">
        <f t="shared" si="16"/>
        <v>4</v>
      </c>
      <c r="J46" s="41">
        <f t="shared" si="13"/>
        <v>38420</v>
      </c>
      <c r="K46" s="11">
        <v>0.76041666666666663</v>
      </c>
      <c r="L46" s="10">
        <v>13874</v>
      </c>
      <c r="M46" s="30">
        <f t="shared" si="11"/>
        <v>1</v>
      </c>
      <c r="N46" s="43">
        <f t="shared" si="14"/>
        <v>38451</v>
      </c>
      <c r="O46" s="13" t="s">
        <v>35</v>
      </c>
      <c r="P46" s="12">
        <v>13943</v>
      </c>
      <c r="Q46" s="23">
        <f t="shared" si="15"/>
        <v>0</v>
      </c>
    </row>
    <row r="47" spans="1:17" x14ac:dyDescent="0.2">
      <c r="A47" s="1" t="s">
        <v>18</v>
      </c>
      <c r="B47" s="26">
        <v>0.344941</v>
      </c>
      <c r="F47" s="38">
        <f t="shared" si="12"/>
        <v>38393</v>
      </c>
      <c r="G47" s="9" t="s">
        <v>25</v>
      </c>
      <c r="H47" s="8">
        <v>13781</v>
      </c>
      <c r="I47" s="32">
        <f t="shared" si="16"/>
        <v>0</v>
      </c>
      <c r="J47" s="41">
        <f t="shared" si="13"/>
        <v>38421</v>
      </c>
      <c r="K47" s="11" t="s">
        <v>25</v>
      </c>
      <c r="L47" s="10">
        <v>13874</v>
      </c>
      <c r="M47" s="30">
        <f t="shared" si="11"/>
        <v>0</v>
      </c>
      <c r="N47" s="43">
        <f t="shared" si="14"/>
        <v>38452</v>
      </c>
      <c r="O47" s="13">
        <v>0.76041666666666663</v>
      </c>
      <c r="P47" s="12">
        <v>13946</v>
      </c>
      <c r="Q47" s="23">
        <f t="shared" si="15"/>
        <v>3</v>
      </c>
    </row>
    <row r="48" spans="1:17" x14ac:dyDescent="0.2">
      <c r="F48" s="38">
        <f t="shared" si="12"/>
        <v>38394</v>
      </c>
      <c r="G48" s="9" t="s">
        <v>26</v>
      </c>
      <c r="H48" s="8">
        <v>13781</v>
      </c>
      <c r="I48" s="32">
        <f t="shared" si="16"/>
        <v>0</v>
      </c>
      <c r="J48" s="41">
        <f t="shared" si="13"/>
        <v>38422</v>
      </c>
      <c r="K48" s="11" t="s">
        <v>26</v>
      </c>
      <c r="L48" s="10">
        <v>13874</v>
      </c>
      <c r="M48" s="30">
        <f t="shared" si="11"/>
        <v>0</v>
      </c>
      <c r="N48" s="43">
        <f t="shared" si="14"/>
        <v>38453</v>
      </c>
      <c r="O48" s="13">
        <v>0.76041666666666663</v>
      </c>
      <c r="P48" s="12">
        <v>13946</v>
      </c>
      <c r="Q48" s="23">
        <f t="shared" si="15"/>
        <v>0</v>
      </c>
    </row>
    <row r="49" spans="6:17" x14ac:dyDescent="0.2">
      <c r="F49" s="38">
        <f t="shared" si="12"/>
        <v>38395</v>
      </c>
      <c r="G49" s="9">
        <v>0.76041666666666663</v>
      </c>
      <c r="H49" s="8">
        <v>13794</v>
      </c>
      <c r="I49" s="32">
        <f t="shared" si="16"/>
        <v>13</v>
      </c>
      <c r="J49" s="41">
        <f t="shared" si="13"/>
        <v>38423</v>
      </c>
      <c r="K49" s="11">
        <v>0.76041666666666663</v>
      </c>
      <c r="L49" s="10">
        <v>13878</v>
      </c>
      <c r="M49" s="30">
        <f t="shared" si="11"/>
        <v>4</v>
      </c>
      <c r="N49" s="43">
        <f t="shared" si="14"/>
        <v>38454</v>
      </c>
      <c r="O49" s="13">
        <v>0.76041666666666663</v>
      </c>
      <c r="P49" s="12">
        <v>13947</v>
      </c>
      <c r="Q49" s="23">
        <f t="shared" si="15"/>
        <v>1</v>
      </c>
    </row>
    <row r="50" spans="6:17" x14ac:dyDescent="0.2">
      <c r="F50" s="38">
        <f t="shared" si="12"/>
        <v>38396</v>
      </c>
      <c r="G50" s="9">
        <v>0.76041666666666663</v>
      </c>
      <c r="H50" s="8">
        <v>13799</v>
      </c>
      <c r="I50" s="32">
        <f t="shared" si="16"/>
        <v>5</v>
      </c>
      <c r="J50" s="41">
        <f t="shared" si="13"/>
        <v>38424</v>
      </c>
      <c r="K50" s="11">
        <v>0.76041666666666663</v>
      </c>
      <c r="L50" s="10">
        <v>13882</v>
      </c>
      <c r="M50" s="30">
        <f t="shared" si="11"/>
        <v>4</v>
      </c>
      <c r="N50" s="43">
        <f t="shared" si="14"/>
        <v>38455</v>
      </c>
      <c r="O50" s="13">
        <v>0.76041666666666663</v>
      </c>
      <c r="P50" s="12">
        <v>13947</v>
      </c>
      <c r="Q50" s="23">
        <f t="shared" si="15"/>
        <v>0</v>
      </c>
    </row>
    <row r="51" spans="6:17" x14ac:dyDescent="0.2">
      <c r="F51" s="38">
        <f t="shared" si="12"/>
        <v>38397</v>
      </c>
      <c r="G51" s="9">
        <v>0.76041666666666663</v>
      </c>
      <c r="H51" s="8">
        <v>13804</v>
      </c>
      <c r="I51" s="32">
        <f t="shared" si="16"/>
        <v>5</v>
      </c>
      <c r="J51" s="41">
        <f t="shared" si="13"/>
        <v>38425</v>
      </c>
      <c r="K51" s="11">
        <v>0.76041666666666663</v>
      </c>
      <c r="L51" s="10">
        <v>13884</v>
      </c>
      <c r="M51" s="30">
        <f t="shared" si="11"/>
        <v>2</v>
      </c>
      <c r="N51" s="43">
        <f t="shared" si="14"/>
        <v>38456</v>
      </c>
      <c r="O51" s="13" t="s">
        <v>25</v>
      </c>
      <c r="P51" s="12">
        <v>13947</v>
      </c>
      <c r="Q51" s="23">
        <f t="shared" si="15"/>
        <v>0</v>
      </c>
    </row>
    <row r="52" spans="6:17" x14ac:dyDescent="0.2">
      <c r="F52" s="38">
        <f t="shared" si="12"/>
        <v>38398</v>
      </c>
      <c r="G52" s="9">
        <v>0.76041666666666663</v>
      </c>
      <c r="H52" s="8">
        <v>13808</v>
      </c>
      <c r="I52" s="32">
        <f t="shared" si="16"/>
        <v>4</v>
      </c>
      <c r="J52" s="41">
        <f t="shared" si="13"/>
        <v>38426</v>
      </c>
      <c r="K52" s="11">
        <v>0.76041666666666663</v>
      </c>
      <c r="L52" s="10">
        <v>13886</v>
      </c>
      <c r="M52" s="30">
        <f t="shared" si="11"/>
        <v>2</v>
      </c>
      <c r="N52" s="43">
        <f t="shared" si="14"/>
        <v>38457</v>
      </c>
      <c r="O52" s="13" t="s">
        <v>26</v>
      </c>
      <c r="P52" s="12">
        <v>13947</v>
      </c>
      <c r="Q52" s="23">
        <f t="shared" si="15"/>
        <v>0</v>
      </c>
    </row>
    <row r="53" spans="6:17" x14ac:dyDescent="0.2">
      <c r="F53" s="38">
        <f t="shared" si="12"/>
        <v>38399</v>
      </c>
      <c r="G53" s="9">
        <v>0.76041666666666663</v>
      </c>
      <c r="H53" s="8">
        <v>13812</v>
      </c>
      <c r="I53" s="32">
        <f t="shared" si="16"/>
        <v>4</v>
      </c>
      <c r="J53" s="41">
        <f t="shared" si="13"/>
        <v>38427</v>
      </c>
      <c r="K53" s="11">
        <v>0.76041666666666663</v>
      </c>
      <c r="L53" s="10">
        <v>13887</v>
      </c>
      <c r="M53" s="30">
        <f t="shared" si="11"/>
        <v>1</v>
      </c>
      <c r="N53" s="43">
        <f t="shared" si="14"/>
        <v>38458</v>
      </c>
      <c r="O53" s="13">
        <v>0.76041666666666663</v>
      </c>
      <c r="P53" s="12">
        <v>13948</v>
      </c>
      <c r="Q53" s="23">
        <f t="shared" si="15"/>
        <v>1</v>
      </c>
    </row>
    <row r="54" spans="6:17" x14ac:dyDescent="0.2">
      <c r="F54" s="38">
        <f t="shared" si="12"/>
        <v>38400</v>
      </c>
      <c r="G54" s="9" t="s">
        <v>25</v>
      </c>
      <c r="H54" s="8">
        <v>13812</v>
      </c>
      <c r="I54" s="32">
        <f t="shared" si="16"/>
        <v>0</v>
      </c>
      <c r="J54" s="41">
        <f t="shared" si="13"/>
        <v>38428</v>
      </c>
      <c r="K54" s="11" t="s">
        <v>25</v>
      </c>
      <c r="L54" s="10">
        <v>13887</v>
      </c>
      <c r="M54" s="30">
        <f t="shared" si="11"/>
        <v>0</v>
      </c>
      <c r="N54" s="43">
        <f t="shared" si="14"/>
        <v>38459</v>
      </c>
      <c r="O54" s="13">
        <v>0.76041666666666663</v>
      </c>
      <c r="P54" s="12">
        <v>13948</v>
      </c>
      <c r="Q54" s="23">
        <f t="shared" si="15"/>
        <v>0</v>
      </c>
    </row>
    <row r="55" spans="6:17" x14ac:dyDescent="0.2">
      <c r="F55" s="38">
        <f t="shared" si="12"/>
        <v>38401</v>
      </c>
      <c r="G55" s="9" t="s">
        <v>26</v>
      </c>
      <c r="H55" s="8">
        <v>13812</v>
      </c>
      <c r="I55" s="32">
        <f t="shared" si="16"/>
        <v>0</v>
      </c>
      <c r="J55" s="41">
        <f t="shared" si="13"/>
        <v>38429</v>
      </c>
      <c r="K55" s="11" t="s">
        <v>26</v>
      </c>
      <c r="L55" s="10">
        <v>13887</v>
      </c>
      <c r="M55" s="30">
        <f t="shared" si="11"/>
        <v>0</v>
      </c>
      <c r="N55" s="43">
        <f t="shared" si="14"/>
        <v>38460</v>
      </c>
      <c r="O55" s="13"/>
      <c r="P55" s="12"/>
      <c r="Q55" s="23" t="str">
        <f t="shared" si="15"/>
        <v/>
      </c>
    </row>
    <row r="56" spans="6:17" x14ac:dyDescent="0.2">
      <c r="F56" s="38">
        <f t="shared" si="12"/>
        <v>38402</v>
      </c>
      <c r="G56" s="9">
        <v>0.76041666666666663</v>
      </c>
      <c r="H56" s="8">
        <v>13824</v>
      </c>
      <c r="I56" s="32">
        <f t="shared" si="16"/>
        <v>12</v>
      </c>
      <c r="J56" s="41">
        <f t="shared" si="13"/>
        <v>38430</v>
      </c>
      <c r="K56" s="11">
        <v>0.76041666666666663</v>
      </c>
      <c r="L56" s="10">
        <v>13890</v>
      </c>
      <c r="M56" s="30">
        <f t="shared" si="11"/>
        <v>3</v>
      </c>
      <c r="N56" s="43">
        <f t="shared" si="14"/>
        <v>38461</v>
      </c>
      <c r="O56" s="13"/>
      <c r="P56" s="12"/>
      <c r="Q56" s="23" t="str">
        <f t="shared" si="15"/>
        <v/>
      </c>
    </row>
    <row r="57" spans="6:17" x14ac:dyDescent="0.2">
      <c r="F57" s="38">
        <f t="shared" si="12"/>
        <v>38403</v>
      </c>
      <c r="G57" s="9">
        <v>0.76041666666666663</v>
      </c>
      <c r="H57" s="8">
        <v>13829</v>
      </c>
      <c r="I57" s="32">
        <f t="shared" si="16"/>
        <v>5</v>
      </c>
      <c r="J57" s="41">
        <f t="shared" si="13"/>
        <v>38431</v>
      </c>
      <c r="K57" s="11">
        <v>0.76041666666666663</v>
      </c>
      <c r="L57" s="10">
        <v>13895</v>
      </c>
      <c r="M57" s="30">
        <f t="shared" si="11"/>
        <v>5</v>
      </c>
      <c r="N57" s="43">
        <f t="shared" si="14"/>
        <v>38462</v>
      </c>
      <c r="O57" s="13"/>
      <c r="P57" s="12"/>
      <c r="Q57" s="23" t="str">
        <f t="shared" si="15"/>
        <v/>
      </c>
    </row>
    <row r="58" spans="6:17" x14ac:dyDescent="0.2">
      <c r="F58" s="38">
        <f t="shared" si="12"/>
        <v>38404</v>
      </c>
      <c r="G58" s="9">
        <v>0.76041666666666663</v>
      </c>
      <c r="H58" s="8">
        <v>13834</v>
      </c>
      <c r="I58" s="32">
        <f t="shared" si="16"/>
        <v>5</v>
      </c>
      <c r="J58" s="41">
        <f t="shared" si="13"/>
        <v>38432</v>
      </c>
      <c r="K58" s="11">
        <v>0.76041666666666663</v>
      </c>
      <c r="L58" s="10">
        <v>13899</v>
      </c>
      <c r="M58" s="30">
        <f t="shared" si="11"/>
        <v>4</v>
      </c>
      <c r="N58" s="43">
        <f t="shared" si="14"/>
        <v>38463</v>
      </c>
      <c r="O58" s="13"/>
      <c r="P58" s="12"/>
      <c r="Q58" s="23" t="str">
        <f t="shared" si="15"/>
        <v/>
      </c>
    </row>
    <row r="59" spans="6:17" x14ac:dyDescent="0.2">
      <c r="F59" s="38">
        <f t="shared" si="12"/>
        <v>38405</v>
      </c>
      <c r="G59" s="9">
        <v>0.76041666666666663</v>
      </c>
      <c r="H59" s="8">
        <v>13838</v>
      </c>
      <c r="I59" s="32">
        <f t="shared" si="16"/>
        <v>4</v>
      </c>
      <c r="J59" s="41">
        <f t="shared" si="13"/>
        <v>38433</v>
      </c>
      <c r="K59" s="11">
        <v>0.76041666666666663</v>
      </c>
      <c r="L59" s="10">
        <v>13903</v>
      </c>
      <c r="M59" s="30">
        <f t="shared" si="11"/>
        <v>4</v>
      </c>
      <c r="N59" s="43">
        <f t="shared" si="14"/>
        <v>38464</v>
      </c>
      <c r="O59" s="13"/>
      <c r="P59" s="12"/>
      <c r="Q59" s="23" t="str">
        <f t="shared" si="15"/>
        <v/>
      </c>
    </row>
    <row r="60" spans="6:17" x14ac:dyDescent="0.2">
      <c r="F60" s="38">
        <f t="shared" si="12"/>
        <v>38406</v>
      </c>
      <c r="G60" s="9">
        <v>0.76041666666666663</v>
      </c>
      <c r="H60" s="8">
        <v>13842</v>
      </c>
      <c r="I60" s="32">
        <f t="shared" si="16"/>
        <v>4</v>
      </c>
      <c r="J60" s="41">
        <f t="shared" si="13"/>
        <v>38434</v>
      </c>
      <c r="K60" s="11">
        <v>0.76041666666666663</v>
      </c>
      <c r="L60" s="10">
        <v>13907</v>
      </c>
      <c r="M60" s="30">
        <f t="shared" si="11"/>
        <v>4</v>
      </c>
      <c r="N60" s="43">
        <f t="shared" si="14"/>
        <v>38465</v>
      </c>
      <c r="O60" s="13"/>
      <c r="P60" s="12"/>
      <c r="Q60" s="23" t="str">
        <f t="shared" si="15"/>
        <v/>
      </c>
    </row>
    <row r="61" spans="6:17" x14ac:dyDescent="0.2">
      <c r="F61" s="38">
        <f t="shared" si="12"/>
        <v>38407</v>
      </c>
      <c r="G61" s="8" t="s">
        <v>25</v>
      </c>
      <c r="H61" s="8">
        <v>13842</v>
      </c>
      <c r="I61" s="32">
        <f t="shared" si="16"/>
        <v>0</v>
      </c>
      <c r="J61" s="41">
        <f t="shared" si="13"/>
        <v>38435</v>
      </c>
      <c r="K61" s="11" t="s">
        <v>25</v>
      </c>
      <c r="L61" s="10">
        <v>13907</v>
      </c>
      <c r="M61" s="30">
        <f t="shared" si="11"/>
        <v>0</v>
      </c>
      <c r="N61" s="43">
        <f t="shared" si="14"/>
        <v>38466</v>
      </c>
      <c r="O61" s="12"/>
      <c r="P61" s="12"/>
      <c r="Q61" s="23" t="str">
        <f t="shared" si="15"/>
        <v/>
      </c>
    </row>
    <row r="62" spans="6:17" x14ac:dyDescent="0.2">
      <c r="F62" s="38">
        <f t="shared" si="12"/>
        <v>38408</v>
      </c>
      <c r="G62" s="8" t="s">
        <v>26</v>
      </c>
      <c r="H62" s="8">
        <v>13842</v>
      </c>
      <c r="I62" s="32">
        <f t="shared" si="16"/>
        <v>0</v>
      </c>
      <c r="J62" s="41">
        <f t="shared" si="13"/>
        <v>38436</v>
      </c>
      <c r="K62" s="11" t="s">
        <v>26</v>
      </c>
      <c r="L62" s="10">
        <v>13907</v>
      </c>
      <c r="M62" s="30">
        <f t="shared" si="11"/>
        <v>0</v>
      </c>
      <c r="N62" s="43">
        <f t="shared" si="14"/>
        <v>38467</v>
      </c>
      <c r="O62" s="12"/>
      <c r="P62" s="12"/>
      <c r="Q62" s="23" t="str">
        <f t="shared" si="15"/>
        <v/>
      </c>
    </row>
    <row r="63" spans="6:17" x14ac:dyDescent="0.2">
      <c r="F63" s="38">
        <v>38774</v>
      </c>
      <c r="G63" s="9">
        <v>0.76041666666666663</v>
      </c>
      <c r="H63" s="8">
        <v>13848</v>
      </c>
      <c r="I63" s="32">
        <f>IF(AND(I62&lt;&gt;"",H63&lt;&gt;""),H63-H62,"")</f>
        <v>6</v>
      </c>
      <c r="J63" s="41">
        <v>38802</v>
      </c>
      <c r="K63" s="11">
        <v>0.76041666666666663</v>
      </c>
      <c r="L63" s="10">
        <v>13916</v>
      </c>
      <c r="M63" s="30">
        <f t="shared" ref="M63:M68" si="17">IF(AND(M62&lt;&gt;"",L63&lt;&gt;""),L63-L62,"")</f>
        <v>9</v>
      </c>
      <c r="N63" s="43">
        <f t="shared" si="14"/>
        <v>38468</v>
      </c>
      <c r="O63" s="12"/>
      <c r="P63" s="12"/>
      <c r="Q63" s="23" t="str">
        <f t="shared" ref="Q63:Q68" si="18">IF(AND(Q57&lt;&gt;"",P63&lt;&gt;""),P63-P57,"")</f>
        <v/>
      </c>
    </row>
    <row r="64" spans="6:17" x14ac:dyDescent="0.2">
      <c r="F64" s="38">
        <v>38775</v>
      </c>
      <c r="G64" s="9">
        <v>0.76041666666666663</v>
      </c>
      <c r="H64" s="8">
        <v>13853</v>
      </c>
      <c r="I64" s="32">
        <f>IF(AND(I63&lt;&gt;"",H64&lt;&gt;""),H64-H63,"")</f>
        <v>5</v>
      </c>
      <c r="J64" s="41">
        <v>38803</v>
      </c>
      <c r="K64" s="11">
        <v>0.76041666666666663</v>
      </c>
      <c r="L64" s="10">
        <v>13920</v>
      </c>
      <c r="M64" s="30">
        <f t="shared" si="17"/>
        <v>4</v>
      </c>
      <c r="N64" s="43">
        <f t="shared" si="14"/>
        <v>38469</v>
      </c>
      <c r="O64" s="12"/>
      <c r="P64" s="12"/>
      <c r="Q64" s="23" t="str">
        <f t="shared" si="18"/>
        <v/>
      </c>
    </row>
    <row r="65" spans="6:17" x14ac:dyDescent="0.2">
      <c r="F65" s="38">
        <v>38776</v>
      </c>
      <c r="G65" s="9">
        <v>0.76041666666666663</v>
      </c>
      <c r="H65" s="8">
        <v>13856</v>
      </c>
      <c r="I65" s="32">
        <f>IF(AND(I64&lt;&gt;"",H65&lt;&gt;""),H65-H64,"")</f>
        <v>3</v>
      </c>
      <c r="J65" s="41">
        <v>38804</v>
      </c>
      <c r="K65" s="11">
        <v>0.76041666666666663</v>
      </c>
      <c r="L65" s="10">
        <v>13923</v>
      </c>
      <c r="M65" s="30">
        <f t="shared" si="17"/>
        <v>3</v>
      </c>
      <c r="N65" s="43">
        <f t="shared" si="14"/>
        <v>38470</v>
      </c>
      <c r="O65" s="12"/>
      <c r="P65" s="12"/>
      <c r="Q65" s="23" t="str">
        <f t="shared" si="18"/>
        <v/>
      </c>
    </row>
    <row r="66" spans="6:17" x14ac:dyDescent="0.2">
      <c r="F66" s="38"/>
      <c r="G66" s="8"/>
      <c r="H66" s="8"/>
      <c r="I66" s="32" t="str">
        <f>IF(AND(I65&lt;&gt;"",H66&lt;&gt;""),H66-H65,"")</f>
        <v/>
      </c>
      <c r="J66" s="41">
        <v>38805</v>
      </c>
      <c r="K66" s="11">
        <v>0.76041666666666663</v>
      </c>
      <c r="L66" s="10">
        <v>13926</v>
      </c>
      <c r="M66" s="30">
        <f t="shared" si="17"/>
        <v>3</v>
      </c>
      <c r="N66" s="43">
        <f t="shared" si="14"/>
        <v>38471</v>
      </c>
      <c r="O66" s="12"/>
      <c r="P66" s="12"/>
      <c r="Q66" s="23" t="str">
        <f t="shared" si="18"/>
        <v/>
      </c>
    </row>
    <row r="67" spans="6:17" x14ac:dyDescent="0.2">
      <c r="F67" s="38"/>
      <c r="G67" s="8"/>
      <c r="H67" s="8"/>
      <c r="I67" s="32" t="str">
        <f>IF(AND(I61&lt;&gt;"",H67&lt;&gt;""),H67-H61,"")</f>
        <v/>
      </c>
      <c r="J67" s="41">
        <v>38806</v>
      </c>
      <c r="K67" s="11">
        <v>0.76041666666666663</v>
      </c>
      <c r="L67" s="10">
        <v>13929</v>
      </c>
      <c r="M67" s="30">
        <f t="shared" si="17"/>
        <v>3</v>
      </c>
      <c r="N67" s="43">
        <f t="shared" si="14"/>
        <v>38472</v>
      </c>
      <c r="O67" s="12"/>
      <c r="P67" s="12"/>
      <c r="Q67" s="23" t="str">
        <f t="shared" si="18"/>
        <v/>
      </c>
    </row>
    <row r="68" spans="6:17" x14ac:dyDescent="0.2">
      <c r="F68" s="38"/>
      <c r="G68" s="8"/>
      <c r="H68" s="8"/>
      <c r="I68" s="32" t="str">
        <f>IF(AND(I62&lt;&gt;"",H68&lt;&gt;""),H68-H62,"")</f>
        <v/>
      </c>
      <c r="J68" s="41">
        <v>38807</v>
      </c>
      <c r="K68" s="11" t="s">
        <v>25</v>
      </c>
      <c r="L68" s="10">
        <v>13929</v>
      </c>
      <c r="M68" s="30">
        <f t="shared" si="17"/>
        <v>0</v>
      </c>
      <c r="N68" s="43"/>
      <c r="O68" s="12"/>
      <c r="P68" s="12"/>
      <c r="Q68" s="23" t="str">
        <f t="shared" si="18"/>
        <v/>
      </c>
    </row>
    <row r="69" spans="6:17" ht="13.5" thickBot="1" x14ac:dyDescent="0.25">
      <c r="F69" s="39"/>
      <c r="G69" s="25"/>
      <c r="H69" s="16"/>
      <c r="I69" s="33" t="str">
        <f>IF(AND(I68&lt;&gt;"",H69&lt;&gt;""),H69-H68,"")</f>
        <v/>
      </c>
      <c r="J69" s="42"/>
      <c r="K69" s="28"/>
      <c r="L69" s="17"/>
      <c r="M69" s="31" t="str">
        <f t="shared" si="11"/>
        <v/>
      </c>
      <c r="N69" s="44"/>
      <c r="O69" s="18"/>
      <c r="P69" s="18"/>
      <c r="Q69" s="24" t="str">
        <f t="shared" si="15"/>
        <v/>
      </c>
    </row>
    <row r="70" spans="6:17" ht="13.5" thickTop="1" x14ac:dyDescent="0.2"/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A10" sqref="A10:B10"/>
    </sheetView>
  </sheetViews>
  <sheetFormatPr defaultRowHeight="12.75" x14ac:dyDescent="0.2"/>
  <cols>
    <col min="1" max="1" width="25" bestFit="1" customWidth="1"/>
    <col min="2" max="2" width="9" bestFit="1" customWidth="1"/>
    <col min="3" max="3" width="6.42578125" bestFit="1" customWidth="1"/>
    <col min="4" max="4" width="7.42578125" bestFit="1" customWidth="1"/>
    <col min="6" max="6" width="9.28515625" bestFit="1" customWidth="1"/>
    <col min="7" max="7" width="5.5703125" bestFit="1" customWidth="1"/>
    <col min="8" max="8" width="6.7109375" bestFit="1" customWidth="1"/>
    <col min="9" max="9" width="6" bestFit="1" customWidth="1"/>
    <col min="10" max="10" width="8.7109375" bestFit="1" customWidth="1"/>
    <col min="11" max="11" width="5.5703125" bestFit="1" customWidth="1"/>
    <col min="12" max="12" width="6.7109375" bestFit="1" customWidth="1"/>
    <col min="13" max="13" width="4.28515625" bestFit="1" customWidth="1"/>
    <col min="14" max="14" width="7.5703125" bestFit="1" customWidth="1"/>
    <col min="15" max="15" width="5.5703125" bestFit="1" customWidth="1"/>
    <col min="16" max="16" width="6.7109375" bestFit="1" customWidth="1"/>
    <col min="17" max="17" width="4.28515625" bestFit="1" customWidth="1"/>
  </cols>
  <sheetData>
    <row r="1" spans="1:17" ht="13.5" thickBot="1" x14ac:dyDescent="0.25">
      <c r="A1" s="1"/>
      <c r="B1" s="2"/>
      <c r="C1" s="3"/>
      <c r="D1" s="3"/>
      <c r="E1" s="14"/>
      <c r="F1" s="36"/>
      <c r="G1" s="1"/>
      <c r="H1" s="1"/>
      <c r="I1" s="15"/>
      <c r="J1" s="40"/>
      <c r="K1" s="34"/>
      <c r="L1" s="14"/>
      <c r="M1" s="14"/>
      <c r="N1" s="40"/>
      <c r="O1" s="14"/>
      <c r="P1" s="14"/>
      <c r="Q1" s="14"/>
    </row>
    <row r="2" spans="1:17" ht="13.5" thickTop="1" x14ac:dyDescent="0.2">
      <c r="A2" s="1" t="s">
        <v>24</v>
      </c>
      <c r="B2" s="55">
        <f ca="1">D43</f>
        <v>762.6495036</v>
      </c>
      <c r="C2" s="3"/>
      <c r="D2" s="3"/>
      <c r="E2" s="14"/>
      <c r="F2" s="37" t="s">
        <v>19</v>
      </c>
      <c r="G2" s="19" t="s">
        <v>10</v>
      </c>
      <c r="H2" s="19" t="s">
        <v>9</v>
      </c>
      <c r="I2" s="47" t="s">
        <v>11</v>
      </c>
      <c r="J2" s="45" t="s">
        <v>20</v>
      </c>
      <c r="K2" s="35" t="s">
        <v>10</v>
      </c>
      <c r="L2" s="20" t="s">
        <v>9</v>
      </c>
      <c r="M2" s="50" t="s">
        <v>11</v>
      </c>
      <c r="N2" s="48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A3" s="1"/>
      <c r="B3" s="2"/>
      <c r="C3" s="3"/>
      <c r="D3" s="3"/>
      <c r="E3" s="14"/>
      <c r="F3" s="38"/>
      <c r="G3" s="8"/>
      <c r="H3" s="8"/>
      <c r="I3" s="32"/>
      <c r="J3" s="46"/>
      <c r="K3" s="11"/>
      <c r="L3" s="10"/>
      <c r="M3" s="30"/>
      <c r="N3" s="49"/>
      <c r="O3" s="12"/>
      <c r="P3" s="12"/>
      <c r="Q3" s="23"/>
    </row>
    <row r="4" spans="1:17" x14ac:dyDescent="0.2">
      <c r="A4" s="1"/>
      <c r="B4" s="2"/>
      <c r="C4" s="3"/>
      <c r="D4" s="3"/>
      <c r="E4" s="14"/>
      <c r="F4" s="38">
        <v>38664</v>
      </c>
      <c r="G4" s="9">
        <v>0.72916666666666663</v>
      </c>
      <c r="H4" s="8">
        <v>12378</v>
      </c>
      <c r="I4" s="32">
        <f>H4-H3</f>
        <v>12378</v>
      </c>
      <c r="J4" s="46">
        <v>38687</v>
      </c>
      <c r="K4" s="11">
        <v>0.8125</v>
      </c>
      <c r="L4" s="10">
        <v>12499</v>
      </c>
      <c r="M4" s="30">
        <f>IF(AND(I30&lt;&gt;"",L4&lt;&gt;""),L4-L3,L4-MAX(H4:H30))</f>
        <v>7</v>
      </c>
      <c r="N4" s="43">
        <v>38353</v>
      </c>
      <c r="O4" s="13" t="s">
        <v>26</v>
      </c>
      <c r="P4" s="12">
        <v>12726</v>
      </c>
      <c r="Q4" s="23">
        <f>IF(AND(M30&lt;&gt;"",P4&lt;&gt;""),P4-P3,P4-MAX(L4:L30))</f>
        <v>69</v>
      </c>
    </row>
    <row r="5" spans="1:17" x14ac:dyDescent="0.2">
      <c r="A5" s="1" t="s">
        <v>113</v>
      </c>
      <c r="B5" s="26">
        <v>46.32</v>
      </c>
      <c r="C5" s="3"/>
      <c r="D5" s="3"/>
      <c r="E5" s="14"/>
      <c r="F5" s="38">
        <v>38665</v>
      </c>
      <c r="G5" s="9">
        <v>0.76388888888888884</v>
      </c>
      <c r="H5" s="8">
        <v>12380</v>
      </c>
      <c r="I5" s="32">
        <f>IF(AND(I4&lt;&gt;"",H5&lt;&gt;""),H5-H4,"")</f>
        <v>2</v>
      </c>
      <c r="J5" s="41">
        <v>38688</v>
      </c>
      <c r="K5" s="11">
        <v>0.79166666666666663</v>
      </c>
      <c r="L5" s="10">
        <v>12507</v>
      </c>
      <c r="M5" s="30">
        <f>IF(AND(M4&lt;&gt;"",L5&lt;&gt;""),L5-L4,"")</f>
        <v>8</v>
      </c>
      <c r="N5" s="43">
        <v>38354</v>
      </c>
      <c r="O5" s="13">
        <v>0.80208333333333337</v>
      </c>
      <c r="P5" s="12">
        <v>12743</v>
      </c>
      <c r="Q5" s="23">
        <f>IF(AND(Q4&lt;&gt;"",P5&lt;&gt;""),P5-P4,"")</f>
        <v>17</v>
      </c>
    </row>
    <row r="6" spans="1:17" x14ac:dyDescent="0.2">
      <c r="A6" s="1" t="s">
        <v>114</v>
      </c>
      <c r="B6" s="26">
        <v>91.67</v>
      </c>
      <c r="C6" s="3"/>
      <c r="D6" s="3"/>
      <c r="E6" s="14"/>
      <c r="F6" s="38">
        <v>38666</v>
      </c>
      <c r="G6" s="9">
        <v>0.76388888888888884</v>
      </c>
      <c r="H6" s="8">
        <v>12384</v>
      </c>
      <c r="I6" s="32">
        <f t="shared" ref="I6:I29" si="0">IF(AND(I5&lt;&gt;"",H6&lt;&gt;""),H6-H5,"")</f>
        <v>4</v>
      </c>
      <c r="J6" s="41">
        <v>38689</v>
      </c>
      <c r="K6" s="11" t="s">
        <v>25</v>
      </c>
      <c r="L6" s="79">
        <v>12511</v>
      </c>
      <c r="M6" s="30">
        <f>IF(AND(M5&lt;&gt;"",L6&lt;&gt;""),L6-L5,"")</f>
        <v>4</v>
      </c>
      <c r="N6" s="43">
        <v>38355</v>
      </c>
      <c r="O6" s="13">
        <v>0.80208333333333337</v>
      </c>
      <c r="P6" s="12">
        <v>12753</v>
      </c>
      <c r="Q6" s="23">
        <f t="shared" ref="Q6:Q30" si="1">IF(AND(Q5&lt;&gt;"",P6&lt;&gt;""),P6-P5,"")</f>
        <v>10</v>
      </c>
    </row>
    <row r="7" spans="1:17" x14ac:dyDescent="0.2">
      <c r="A7" s="1" t="s">
        <v>115</v>
      </c>
      <c r="B7" s="26">
        <v>267</v>
      </c>
      <c r="C7" s="3"/>
      <c r="D7" s="3"/>
      <c r="E7" s="14"/>
      <c r="F7" s="38">
        <v>38667</v>
      </c>
      <c r="G7" s="9">
        <v>0.75694444444444453</v>
      </c>
      <c r="H7" s="8">
        <v>12387</v>
      </c>
      <c r="I7" s="32">
        <f t="shared" si="0"/>
        <v>3</v>
      </c>
      <c r="J7" s="41">
        <v>38690</v>
      </c>
      <c r="K7" s="11" t="s">
        <v>26</v>
      </c>
      <c r="L7" s="10">
        <v>12511</v>
      </c>
      <c r="M7" s="30">
        <f>IF(AND(M6&lt;&gt;"",L7&lt;&gt;""),L7-L6,"")</f>
        <v>0</v>
      </c>
      <c r="N7" s="43">
        <v>38356</v>
      </c>
      <c r="O7" s="13">
        <v>0.80208333333333337</v>
      </c>
      <c r="P7" s="12">
        <v>12761</v>
      </c>
      <c r="Q7" s="23">
        <f t="shared" si="1"/>
        <v>8</v>
      </c>
    </row>
    <row r="8" spans="1:17" x14ac:dyDescent="0.2">
      <c r="A8" s="1" t="s">
        <v>116</v>
      </c>
      <c r="B8" s="26">
        <v>107.1</v>
      </c>
      <c r="C8" s="3"/>
      <c r="D8" s="3"/>
      <c r="E8" s="14"/>
      <c r="F8" s="38">
        <v>38668</v>
      </c>
      <c r="G8" s="9" t="s">
        <v>25</v>
      </c>
      <c r="H8" s="8">
        <v>12387</v>
      </c>
      <c r="I8" s="32">
        <f t="shared" si="0"/>
        <v>0</v>
      </c>
      <c r="J8" s="41">
        <v>38691</v>
      </c>
      <c r="K8" s="11">
        <v>0.78125</v>
      </c>
      <c r="L8" s="10">
        <v>12530</v>
      </c>
      <c r="M8" s="30">
        <f>IF(AND(M7&lt;&gt;"",L8&lt;&gt;""),L8-L7,"")</f>
        <v>19</v>
      </c>
      <c r="N8" s="43">
        <v>38357</v>
      </c>
      <c r="O8" s="13">
        <v>0.80208333333333337</v>
      </c>
      <c r="P8" s="12">
        <v>12770</v>
      </c>
      <c r="Q8" s="23">
        <f t="shared" si="1"/>
        <v>9</v>
      </c>
    </row>
    <row r="9" spans="1:17" x14ac:dyDescent="0.2">
      <c r="A9" s="1"/>
      <c r="B9" s="26"/>
      <c r="C9" s="3"/>
      <c r="D9" s="3"/>
      <c r="E9" s="14"/>
      <c r="F9" s="38">
        <v>38669</v>
      </c>
      <c r="G9" s="9" t="s">
        <v>26</v>
      </c>
      <c r="H9" s="8">
        <v>12387</v>
      </c>
      <c r="I9" s="32">
        <f t="shared" si="0"/>
        <v>0</v>
      </c>
      <c r="J9" s="41">
        <v>38692</v>
      </c>
      <c r="K9" s="11">
        <v>0.80208333333333337</v>
      </c>
      <c r="L9" s="10">
        <v>12539</v>
      </c>
      <c r="M9" s="30">
        <f>IF(AND(M8&lt;&gt;"",L9&lt;&gt;""),L9-L8,"")</f>
        <v>9</v>
      </c>
      <c r="N9" s="43">
        <v>38358</v>
      </c>
      <c r="O9" s="13" t="s">
        <v>117</v>
      </c>
      <c r="P9" s="12">
        <v>12770</v>
      </c>
      <c r="Q9" s="23">
        <f t="shared" si="1"/>
        <v>0</v>
      </c>
    </row>
    <row r="10" spans="1:17" x14ac:dyDescent="0.2">
      <c r="A10" s="63" t="s">
        <v>118</v>
      </c>
      <c r="B10" s="64">
        <f>SUM(B5:B8)</f>
        <v>512.09</v>
      </c>
      <c r="C10" s="3"/>
      <c r="D10" s="3"/>
      <c r="E10" s="14"/>
      <c r="F10" s="38">
        <v>38670</v>
      </c>
      <c r="G10" s="9">
        <v>0.79166666666666663</v>
      </c>
      <c r="H10" s="8">
        <v>12397</v>
      </c>
      <c r="I10" s="32">
        <f t="shared" si="0"/>
        <v>10</v>
      </c>
      <c r="J10" s="41">
        <v>38693</v>
      </c>
      <c r="K10" s="11">
        <v>0.80208333333333337</v>
      </c>
      <c r="L10" s="10">
        <v>12546</v>
      </c>
      <c r="M10" s="30">
        <f t="shared" ref="M10:M30" si="2">IF(AND(M9&lt;&gt;"",L10&lt;&gt;""),L10-L9,"")</f>
        <v>7</v>
      </c>
      <c r="N10" s="43">
        <v>38359</v>
      </c>
      <c r="O10" s="13">
        <v>0.80208333333333337</v>
      </c>
      <c r="P10" s="12">
        <v>12785</v>
      </c>
      <c r="Q10" s="23">
        <f t="shared" si="1"/>
        <v>15</v>
      </c>
    </row>
    <row r="11" spans="1:17" x14ac:dyDescent="0.2">
      <c r="A11" s="1"/>
      <c r="B11" s="26"/>
      <c r="C11" s="3"/>
      <c r="D11" s="3"/>
      <c r="E11" s="14"/>
      <c r="F11" s="38">
        <v>38671</v>
      </c>
      <c r="G11" s="9">
        <v>0.77430555555555547</v>
      </c>
      <c r="H11" s="8">
        <v>12401</v>
      </c>
      <c r="I11" s="32">
        <f t="shared" si="0"/>
        <v>4</v>
      </c>
      <c r="J11" s="41">
        <v>38694</v>
      </c>
      <c r="K11" s="11" t="s">
        <v>49</v>
      </c>
      <c r="L11" s="10">
        <v>12546</v>
      </c>
      <c r="M11" s="30">
        <f t="shared" si="2"/>
        <v>0</v>
      </c>
      <c r="N11" s="43">
        <v>38360</v>
      </c>
      <c r="O11" s="13" t="s">
        <v>26</v>
      </c>
      <c r="P11" s="12">
        <v>12785</v>
      </c>
      <c r="Q11" s="23">
        <f t="shared" si="1"/>
        <v>0</v>
      </c>
    </row>
    <row r="12" spans="1:17" x14ac:dyDescent="0.2">
      <c r="A12" s="1"/>
      <c r="B12" s="54"/>
      <c r="C12" s="3"/>
      <c r="D12" s="3"/>
      <c r="E12" s="14"/>
      <c r="F12" s="38">
        <v>38672</v>
      </c>
      <c r="G12" s="9">
        <v>0.79166666666666663</v>
      </c>
      <c r="H12" s="8">
        <v>12404</v>
      </c>
      <c r="I12" s="32">
        <f t="shared" si="0"/>
        <v>3</v>
      </c>
      <c r="J12" s="41">
        <v>38695</v>
      </c>
      <c r="K12" s="11">
        <v>0.80208333333333337</v>
      </c>
      <c r="L12" s="10">
        <v>12561</v>
      </c>
      <c r="M12" s="30">
        <f t="shared" si="2"/>
        <v>15</v>
      </c>
      <c r="N12" s="43">
        <v>38361</v>
      </c>
      <c r="O12" s="13">
        <v>0.80208333333333337</v>
      </c>
      <c r="P12" s="12">
        <v>12799</v>
      </c>
      <c r="Q12" s="23">
        <f t="shared" si="1"/>
        <v>14</v>
      </c>
    </row>
    <row r="13" spans="1:17" x14ac:dyDescent="0.2">
      <c r="A13" s="1"/>
      <c r="B13" s="2"/>
      <c r="C13" s="3"/>
      <c r="D13" s="3"/>
      <c r="E13" s="14"/>
      <c r="F13" s="38">
        <v>38673</v>
      </c>
      <c r="G13" s="9">
        <v>0.76041666666666663</v>
      </c>
      <c r="H13" s="8">
        <v>12407</v>
      </c>
      <c r="I13" s="32">
        <f t="shared" si="0"/>
        <v>3</v>
      </c>
      <c r="J13" s="41">
        <v>38696</v>
      </c>
      <c r="K13" s="11" t="s">
        <v>25</v>
      </c>
      <c r="L13" s="10">
        <v>12561</v>
      </c>
      <c r="M13" s="30">
        <f t="shared" si="2"/>
        <v>0</v>
      </c>
      <c r="N13" s="43">
        <v>38362</v>
      </c>
      <c r="O13" s="13">
        <v>0.80208333333333337</v>
      </c>
      <c r="P13" s="12">
        <v>12807</v>
      </c>
      <c r="Q13" s="23">
        <f t="shared" si="1"/>
        <v>8</v>
      </c>
    </row>
    <row r="14" spans="1:17" x14ac:dyDescent="0.2">
      <c r="A14" s="1"/>
      <c r="B14" s="2"/>
      <c r="C14" s="3"/>
      <c r="D14" s="3"/>
      <c r="E14" s="14"/>
      <c r="F14" s="38">
        <v>38674</v>
      </c>
      <c r="G14" s="9" t="s">
        <v>30</v>
      </c>
      <c r="H14" s="8">
        <v>12407</v>
      </c>
      <c r="I14" s="32">
        <f t="shared" si="0"/>
        <v>0</v>
      </c>
      <c r="J14" s="41">
        <v>38697</v>
      </c>
      <c r="K14" s="11" t="s">
        <v>26</v>
      </c>
      <c r="L14" s="10">
        <v>12561</v>
      </c>
      <c r="M14" s="30">
        <f t="shared" si="2"/>
        <v>0</v>
      </c>
      <c r="N14" s="43">
        <v>38363</v>
      </c>
      <c r="O14" s="13">
        <v>0.80208333333333337</v>
      </c>
      <c r="P14" s="12">
        <v>12815</v>
      </c>
      <c r="Q14" s="23">
        <f t="shared" si="1"/>
        <v>8</v>
      </c>
    </row>
    <row r="15" spans="1:17" x14ac:dyDescent="0.2">
      <c r="A15" s="1"/>
      <c r="B15" s="2"/>
      <c r="C15" s="3"/>
      <c r="D15" s="3"/>
      <c r="E15" s="14"/>
      <c r="F15" s="38">
        <v>38675</v>
      </c>
      <c r="G15" s="9" t="s">
        <v>25</v>
      </c>
      <c r="H15" s="8">
        <v>12407</v>
      </c>
      <c r="I15" s="32">
        <f t="shared" si="0"/>
        <v>0</v>
      </c>
      <c r="J15" s="41">
        <v>38698</v>
      </c>
      <c r="K15" s="11">
        <v>0.80208333333333337</v>
      </c>
      <c r="L15" s="10">
        <v>12581</v>
      </c>
      <c r="M15" s="30">
        <f t="shared" si="2"/>
        <v>20</v>
      </c>
      <c r="N15" s="43">
        <v>38364</v>
      </c>
      <c r="O15" s="13">
        <v>0.80208333333333337</v>
      </c>
      <c r="P15" s="12">
        <v>12823</v>
      </c>
      <c r="Q15" s="23">
        <f t="shared" si="1"/>
        <v>8</v>
      </c>
    </row>
    <row r="16" spans="1:17" x14ac:dyDescent="0.2">
      <c r="A16" s="1"/>
      <c r="B16" s="2"/>
      <c r="C16" s="3"/>
      <c r="D16" s="3"/>
      <c r="E16" s="14"/>
      <c r="F16" s="38">
        <v>38676</v>
      </c>
      <c r="G16" s="9" t="s">
        <v>26</v>
      </c>
      <c r="H16" s="8">
        <v>12407</v>
      </c>
      <c r="I16" s="32">
        <f t="shared" si="0"/>
        <v>0</v>
      </c>
      <c r="J16" s="41">
        <v>38699</v>
      </c>
      <c r="K16" s="11">
        <v>0.80208333333333337</v>
      </c>
      <c r="L16" s="10">
        <v>12588</v>
      </c>
      <c r="M16" s="30">
        <f t="shared" si="2"/>
        <v>7</v>
      </c>
      <c r="N16" s="43">
        <v>38365</v>
      </c>
      <c r="O16" s="13">
        <v>0.80208333333333337</v>
      </c>
      <c r="P16" s="12">
        <v>12832</v>
      </c>
      <c r="Q16" s="23">
        <f t="shared" si="1"/>
        <v>9</v>
      </c>
    </row>
    <row r="17" spans="1:17" x14ac:dyDescent="0.2">
      <c r="A17" s="1"/>
      <c r="B17" s="2"/>
      <c r="C17" s="3"/>
      <c r="D17" s="3"/>
      <c r="E17" s="14"/>
      <c r="F17" s="38">
        <v>38677</v>
      </c>
      <c r="G17" s="9">
        <v>0.77777777777777779</v>
      </c>
      <c r="H17" s="8">
        <v>12425</v>
      </c>
      <c r="I17" s="32">
        <f t="shared" si="0"/>
        <v>18</v>
      </c>
      <c r="J17" s="41">
        <v>38700</v>
      </c>
      <c r="K17" s="11">
        <v>0.80208333333333337</v>
      </c>
      <c r="L17" s="10">
        <v>12595</v>
      </c>
      <c r="M17" s="30">
        <f t="shared" si="2"/>
        <v>7</v>
      </c>
      <c r="N17" s="43">
        <v>38733</v>
      </c>
      <c r="O17" s="13">
        <v>0.80208333333333337</v>
      </c>
      <c r="P17" s="12">
        <v>12857</v>
      </c>
      <c r="Q17" s="23">
        <f t="shared" si="1"/>
        <v>25</v>
      </c>
    </row>
    <row r="18" spans="1:17" x14ac:dyDescent="0.2">
      <c r="A18" s="1"/>
      <c r="B18" s="2"/>
      <c r="C18" s="3"/>
      <c r="D18" s="3"/>
      <c r="E18" s="14"/>
      <c r="F18" s="38">
        <v>38678</v>
      </c>
      <c r="G18" s="9">
        <v>0.79861111111111116</v>
      </c>
      <c r="H18" s="8">
        <v>12430</v>
      </c>
      <c r="I18" s="32">
        <f t="shared" si="0"/>
        <v>5</v>
      </c>
      <c r="J18" s="41">
        <v>38701</v>
      </c>
      <c r="K18" s="11">
        <v>0.80208333333333337</v>
      </c>
      <c r="L18" s="10">
        <v>12602</v>
      </c>
      <c r="M18" s="30">
        <f t="shared" si="2"/>
        <v>7</v>
      </c>
      <c r="N18" s="43">
        <v>38734</v>
      </c>
      <c r="O18" s="13">
        <v>0.80208333333333337</v>
      </c>
      <c r="P18" s="12">
        <v>12867</v>
      </c>
      <c r="Q18" s="23">
        <f t="shared" si="1"/>
        <v>10</v>
      </c>
    </row>
    <row r="19" spans="1:17" x14ac:dyDescent="0.2">
      <c r="A19" s="1"/>
      <c r="B19" s="2"/>
      <c r="C19" s="3"/>
      <c r="D19" s="3"/>
      <c r="E19" s="14"/>
      <c r="F19" s="38">
        <v>38679</v>
      </c>
      <c r="G19" s="9">
        <v>0.76041666666666663</v>
      </c>
      <c r="H19" s="8">
        <v>12437</v>
      </c>
      <c r="I19" s="32">
        <f t="shared" si="0"/>
        <v>7</v>
      </c>
      <c r="J19" s="41">
        <v>38702</v>
      </c>
      <c r="K19" s="11">
        <v>0.80208333333333337</v>
      </c>
      <c r="L19" s="10">
        <v>12608</v>
      </c>
      <c r="M19" s="30">
        <f t="shared" si="2"/>
        <v>6</v>
      </c>
      <c r="N19" s="43">
        <v>38735</v>
      </c>
      <c r="O19" s="13">
        <v>0.80208333333333337</v>
      </c>
      <c r="P19" s="12">
        <v>12876</v>
      </c>
      <c r="Q19" s="23">
        <f t="shared" si="1"/>
        <v>9</v>
      </c>
    </row>
    <row r="20" spans="1:17" x14ac:dyDescent="0.2">
      <c r="A20" s="1"/>
      <c r="B20" s="2"/>
      <c r="C20" s="3"/>
      <c r="D20" s="3"/>
      <c r="E20" s="14"/>
      <c r="F20" s="38">
        <v>38680</v>
      </c>
      <c r="G20" s="9">
        <v>0.80208333333333337</v>
      </c>
      <c r="H20" s="8">
        <v>12445</v>
      </c>
      <c r="I20" s="32">
        <f t="shared" si="0"/>
        <v>8</v>
      </c>
      <c r="J20" s="41">
        <v>38703</v>
      </c>
      <c r="K20" s="11" t="s">
        <v>25</v>
      </c>
      <c r="L20" s="10">
        <v>12608</v>
      </c>
      <c r="M20" s="30">
        <f t="shared" si="2"/>
        <v>0</v>
      </c>
      <c r="N20" s="43">
        <v>38736</v>
      </c>
      <c r="O20" s="13">
        <v>0.80208333333333337</v>
      </c>
      <c r="P20" s="12">
        <v>12884</v>
      </c>
      <c r="Q20" s="23">
        <f t="shared" si="1"/>
        <v>8</v>
      </c>
    </row>
    <row r="21" spans="1:17" x14ac:dyDescent="0.2">
      <c r="A21" s="1"/>
      <c r="B21" s="2"/>
      <c r="C21" s="3"/>
      <c r="D21" s="3"/>
      <c r="E21" s="14"/>
      <c r="F21" s="38">
        <v>38681</v>
      </c>
      <c r="G21" s="9">
        <v>0.80208333333333337</v>
      </c>
      <c r="H21" s="8">
        <v>12453</v>
      </c>
      <c r="I21" s="32">
        <f t="shared" si="0"/>
        <v>8</v>
      </c>
      <c r="J21" s="41">
        <v>38704</v>
      </c>
      <c r="K21" s="11" t="s">
        <v>26</v>
      </c>
      <c r="L21" s="10">
        <v>12608</v>
      </c>
      <c r="M21" s="30">
        <f t="shared" si="2"/>
        <v>0</v>
      </c>
      <c r="N21" s="43">
        <v>38737</v>
      </c>
      <c r="O21" s="13">
        <v>0.80208333333333337</v>
      </c>
      <c r="P21" s="12">
        <v>12893</v>
      </c>
      <c r="Q21" s="23">
        <f t="shared" si="1"/>
        <v>9</v>
      </c>
    </row>
    <row r="22" spans="1:17" x14ac:dyDescent="0.2">
      <c r="A22" s="1"/>
      <c r="B22" s="2"/>
      <c r="C22" s="3"/>
      <c r="D22" s="26"/>
      <c r="E22" s="14"/>
      <c r="F22" s="38">
        <v>38682</v>
      </c>
      <c r="G22" s="8" t="s">
        <v>25</v>
      </c>
      <c r="H22" s="8">
        <v>12453</v>
      </c>
      <c r="I22" s="32">
        <f t="shared" si="0"/>
        <v>0</v>
      </c>
      <c r="J22" s="41">
        <v>38705</v>
      </c>
      <c r="K22" s="11">
        <v>0.80208333333333337</v>
      </c>
      <c r="L22" s="10">
        <v>12628</v>
      </c>
      <c r="M22" s="30">
        <f t="shared" si="2"/>
        <v>20</v>
      </c>
      <c r="N22" s="43">
        <v>38740</v>
      </c>
      <c r="O22" s="13">
        <v>0.80208333333333337</v>
      </c>
      <c r="P22" s="12">
        <v>12911</v>
      </c>
      <c r="Q22" s="23">
        <f t="shared" si="1"/>
        <v>18</v>
      </c>
    </row>
    <row r="23" spans="1:17" x14ac:dyDescent="0.2">
      <c r="A23" s="1"/>
      <c r="B23" s="2"/>
      <c r="C23" s="3"/>
      <c r="D23" s="3"/>
      <c r="E23" s="14"/>
      <c r="F23" s="38">
        <v>38683</v>
      </c>
      <c r="G23" s="8" t="s">
        <v>26</v>
      </c>
      <c r="H23" s="8">
        <v>12453</v>
      </c>
      <c r="I23" s="32">
        <f t="shared" si="0"/>
        <v>0</v>
      </c>
      <c r="J23" s="41">
        <v>38706</v>
      </c>
      <c r="K23" s="11">
        <v>0.80208333333333337</v>
      </c>
      <c r="L23" s="10">
        <v>12636</v>
      </c>
      <c r="M23" s="30">
        <f t="shared" si="2"/>
        <v>8</v>
      </c>
      <c r="N23" s="43">
        <v>38741</v>
      </c>
      <c r="O23" s="13">
        <v>0.80208333333333337</v>
      </c>
      <c r="P23" s="12">
        <v>12920</v>
      </c>
      <c r="Q23" s="23">
        <f t="shared" si="1"/>
        <v>9</v>
      </c>
    </row>
    <row r="24" spans="1:17" x14ac:dyDescent="0.2">
      <c r="A24" s="1"/>
      <c r="B24" s="3"/>
      <c r="C24" s="3"/>
      <c r="D24" s="3"/>
      <c r="E24" s="14"/>
      <c r="F24" s="38">
        <v>38684</v>
      </c>
      <c r="G24" s="9">
        <v>0.77083333333333337</v>
      </c>
      <c r="H24" s="8">
        <v>12474</v>
      </c>
      <c r="I24" s="32">
        <f t="shared" si="0"/>
        <v>21</v>
      </c>
      <c r="J24" s="41">
        <v>38707</v>
      </c>
      <c r="K24" s="11">
        <v>0.80208333333333337</v>
      </c>
      <c r="L24" s="10">
        <v>12645</v>
      </c>
      <c r="M24" s="30">
        <f t="shared" si="2"/>
        <v>9</v>
      </c>
      <c r="N24" s="43">
        <v>38742</v>
      </c>
      <c r="O24" s="13">
        <v>0.80208333333333337</v>
      </c>
      <c r="P24" s="12">
        <v>12930</v>
      </c>
      <c r="Q24" s="23">
        <f t="shared" si="1"/>
        <v>10</v>
      </c>
    </row>
    <row r="25" spans="1:17" x14ac:dyDescent="0.2">
      <c r="A25" s="1"/>
      <c r="B25" s="2"/>
      <c r="C25" s="3"/>
      <c r="D25" s="26"/>
      <c r="E25" s="14"/>
      <c r="F25" s="38">
        <v>38685</v>
      </c>
      <c r="G25" s="9">
        <v>0.77777777777777779</v>
      </c>
      <c r="H25" s="8">
        <v>12484</v>
      </c>
      <c r="I25" s="32">
        <f t="shared" si="0"/>
        <v>10</v>
      </c>
      <c r="J25" s="41">
        <v>38708</v>
      </c>
      <c r="K25" s="11">
        <v>0.80208333333333337</v>
      </c>
      <c r="L25" s="10">
        <v>12653</v>
      </c>
      <c r="M25" s="30">
        <f t="shared" si="2"/>
        <v>8</v>
      </c>
      <c r="N25" s="43">
        <v>38743</v>
      </c>
      <c r="O25" s="13">
        <v>0.80208333333333337</v>
      </c>
      <c r="P25" s="12">
        <v>12940</v>
      </c>
      <c r="Q25" s="23">
        <f t="shared" si="1"/>
        <v>10</v>
      </c>
    </row>
    <row r="26" spans="1:17" x14ac:dyDescent="0.2">
      <c r="A26" s="1"/>
      <c r="B26" s="27"/>
      <c r="C26" s="3"/>
      <c r="D26" s="3"/>
      <c r="E26" s="14"/>
      <c r="F26" s="38">
        <v>38686</v>
      </c>
      <c r="G26" s="9">
        <v>0.8125</v>
      </c>
      <c r="H26" s="8">
        <v>12492</v>
      </c>
      <c r="I26" s="32">
        <f t="shared" si="0"/>
        <v>8</v>
      </c>
      <c r="J26" s="41">
        <v>38709</v>
      </c>
      <c r="K26" s="11">
        <v>0.80208333333333337</v>
      </c>
      <c r="L26" s="10">
        <v>12657</v>
      </c>
      <c r="M26" s="30">
        <f t="shared" si="2"/>
        <v>4</v>
      </c>
      <c r="N26" s="43">
        <v>38744</v>
      </c>
      <c r="O26" s="13">
        <v>0.80208333333333337</v>
      </c>
      <c r="P26" s="12">
        <v>12940</v>
      </c>
      <c r="Q26" s="23">
        <f t="shared" si="1"/>
        <v>0</v>
      </c>
    </row>
    <row r="27" spans="1:17" x14ac:dyDescent="0.2">
      <c r="A27" s="1"/>
      <c r="B27" s="3"/>
      <c r="C27" s="3"/>
      <c r="D27" s="3"/>
      <c r="E27" s="14"/>
      <c r="F27" s="38"/>
      <c r="G27" s="8"/>
      <c r="H27" s="8"/>
      <c r="I27" s="32" t="str">
        <f t="shared" si="0"/>
        <v/>
      </c>
      <c r="J27" s="41">
        <v>38713</v>
      </c>
      <c r="K27" s="11">
        <v>0.80208333333333337</v>
      </c>
      <c r="L27" s="10">
        <v>12657</v>
      </c>
      <c r="M27" s="30">
        <f t="shared" si="2"/>
        <v>0</v>
      </c>
      <c r="N27" s="43">
        <v>38747</v>
      </c>
      <c r="O27" s="13">
        <v>0.80208333333333337</v>
      </c>
      <c r="P27" s="12">
        <v>12970</v>
      </c>
      <c r="Q27" s="23">
        <f t="shared" si="1"/>
        <v>30</v>
      </c>
    </row>
    <row r="28" spans="1:17" x14ac:dyDescent="0.2">
      <c r="A28" s="1"/>
      <c r="B28" s="2"/>
      <c r="C28" s="3"/>
      <c r="D28" s="3"/>
      <c r="E28" s="14"/>
      <c r="F28" s="38"/>
      <c r="G28" s="8"/>
      <c r="H28" s="8"/>
      <c r="I28" s="80" t="str">
        <f t="shared" si="0"/>
        <v/>
      </c>
      <c r="J28" s="81">
        <v>38714</v>
      </c>
      <c r="K28" s="52">
        <v>0.80208333333333337</v>
      </c>
      <c r="L28" s="53">
        <v>12657</v>
      </c>
      <c r="M28" s="30">
        <f t="shared" si="2"/>
        <v>0</v>
      </c>
      <c r="N28" s="43">
        <v>38748</v>
      </c>
      <c r="O28" s="13">
        <v>0.80208333333333337</v>
      </c>
      <c r="P28" s="12">
        <v>12977</v>
      </c>
      <c r="Q28" s="23">
        <f t="shared" si="1"/>
        <v>7</v>
      </c>
    </row>
    <row r="29" spans="1:17" x14ac:dyDescent="0.2">
      <c r="A29" s="1" t="s">
        <v>119</v>
      </c>
      <c r="B29" s="6" t="s">
        <v>8</v>
      </c>
      <c r="C29" s="4" t="s">
        <v>5</v>
      </c>
      <c r="D29" s="4" t="s">
        <v>6</v>
      </c>
      <c r="E29" s="14"/>
      <c r="F29" s="38"/>
      <c r="G29" s="8"/>
      <c r="H29" s="8"/>
      <c r="I29" s="32" t="str">
        <f t="shared" si="0"/>
        <v/>
      </c>
      <c r="J29" s="82">
        <v>38717</v>
      </c>
      <c r="K29" s="51">
        <v>0.80208333333333337</v>
      </c>
      <c r="L29" s="83">
        <v>12657</v>
      </c>
      <c r="M29" s="30">
        <f t="shared" si="2"/>
        <v>0</v>
      </c>
      <c r="N29" s="43"/>
      <c r="O29" s="12"/>
      <c r="P29" s="12"/>
      <c r="Q29" s="23" t="str">
        <f t="shared" si="1"/>
        <v/>
      </c>
    </row>
    <row r="30" spans="1:17" ht="13.5" thickBot="1" x14ac:dyDescent="0.25">
      <c r="A30" s="5"/>
      <c r="B30" s="2"/>
      <c r="C30" s="3"/>
      <c r="D30" s="3"/>
      <c r="E30" s="14"/>
      <c r="F30" s="39"/>
      <c r="G30" s="25"/>
      <c r="H30" s="16"/>
      <c r="I30" s="33" t="str">
        <f>IF(AND(I29&lt;&gt;"",H30&lt;&gt;""),H30-H29,"")</f>
        <v/>
      </c>
      <c r="J30" s="41"/>
      <c r="K30" s="11"/>
      <c r="L30" s="10"/>
      <c r="M30" s="30" t="str">
        <f t="shared" si="2"/>
        <v/>
      </c>
      <c r="N30" s="44"/>
      <c r="O30" s="18"/>
      <c r="P30" s="18"/>
      <c r="Q30" s="24" t="str">
        <f t="shared" si="1"/>
        <v/>
      </c>
    </row>
    <row r="31" spans="1:17" ht="13.5" thickTop="1" x14ac:dyDescent="0.2">
      <c r="A31" s="1" t="s">
        <v>0</v>
      </c>
      <c r="B31" s="2">
        <f ca="1">SUM(TODAY()-"14/2/2006")</f>
        <v>6258</v>
      </c>
      <c r="C31" s="3"/>
      <c r="D31" s="3"/>
      <c r="E31" s="14"/>
      <c r="F31" s="37" t="s">
        <v>13</v>
      </c>
      <c r="G31" s="19" t="s">
        <v>10</v>
      </c>
      <c r="H31" s="19" t="s">
        <v>9</v>
      </c>
      <c r="I31" s="47" t="s">
        <v>11</v>
      </c>
      <c r="J31" s="45" t="s">
        <v>14</v>
      </c>
      <c r="K31" s="35" t="s">
        <v>10</v>
      </c>
      <c r="L31" s="20" t="s">
        <v>9</v>
      </c>
      <c r="M31" s="50" t="s">
        <v>11</v>
      </c>
      <c r="N31" s="48" t="s">
        <v>21</v>
      </c>
      <c r="O31" s="21" t="s">
        <v>10</v>
      </c>
      <c r="P31" s="21" t="s">
        <v>9</v>
      </c>
      <c r="Q31" s="22" t="s">
        <v>11</v>
      </c>
    </row>
    <row r="32" spans="1:17" x14ac:dyDescent="0.2">
      <c r="A32" s="1" t="s">
        <v>4</v>
      </c>
      <c r="B32" s="2">
        <f>MAX(H4:H30, L4:L30,P4:P30, H33:H58, L33:L58, P33:P58)-13071</f>
        <v>239</v>
      </c>
      <c r="C32" s="3"/>
      <c r="D32" s="3"/>
      <c r="E32" s="14"/>
      <c r="F32" s="38"/>
      <c r="G32" s="8"/>
      <c r="H32" s="8"/>
      <c r="I32" s="32"/>
      <c r="J32" s="46"/>
      <c r="K32" s="11"/>
      <c r="L32" s="10"/>
      <c r="M32" s="30"/>
      <c r="N32" s="49"/>
      <c r="O32" s="12"/>
      <c r="P32" s="12"/>
      <c r="Q32" s="23"/>
    </row>
    <row r="33" spans="1:17" x14ac:dyDescent="0.2">
      <c r="A33" s="1" t="s">
        <v>1</v>
      </c>
      <c r="B33" s="2">
        <f ca="1">B31</f>
        <v>6258</v>
      </c>
      <c r="C33" s="3">
        <v>8.2192000000000001E-2</v>
      </c>
      <c r="D33" s="3">
        <f t="shared" ref="D33:D41" ca="1" si="3">B33*C33</f>
        <v>514.35753599999998</v>
      </c>
      <c r="E33" s="14"/>
      <c r="F33" s="38">
        <v>38384</v>
      </c>
      <c r="G33" s="9">
        <v>0.80208333333333337</v>
      </c>
      <c r="H33" s="8">
        <v>12984</v>
      </c>
      <c r="I33" s="32">
        <f>H33-P28</f>
        <v>7</v>
      </c>
      <c r="J33" s="46">
        <v>38412</v>
      </c>
      <c r="K33" s="11">
        <v>0.80208333333333337</v>
      </c>
      <c r="L33" s="10">
        <v>13165</v>
      </c>
      <c r="M33" s="30">
        <f>IF(AND(I59&lt;&gt;"",L33&lt;&gt;""),L33-L32,L33-MAX(H33:H59))</f>
        <v>7</v>
      </c>
      <c r="N33" s="43">
        <v>38443</v>
      </c>
      <c r="O33" s="13">
        <v>0.80208333333333337</v>
      </c>
      <c r="P33" s="12">
        <v>13282</v>
      </c>
      <c r="Q33" s="23">
        <f>IF(AND(M59&lt;&gt;"",P33&lt;&gt;""),P33-P32,P33-MAX(L33:L59))</f>
        <v>2</v>
      </c>
    </row>
    <row r="34" spans="1:17" x14ac:dyDescent="0.2">
      <c r="A34" s="1" t="s">
        <v>22</v>
      </c>
      <c r="B34" s="2">
        <v>0</v>
      </c>
      <c r="C34" s="3">
        <v>1.072E-3</v>
      </c>
      <c r="D34" s="3">
        <f t="shared" si="3"/>
        <v>0</v>
      </c>
      <c r="E34" s="14"/>
      <c r="F34" s="38">
        <v>38385</v>
      </c>
      <c r="G34" s="9">
        <v>0.80208333333333337</v>
      </c>
      <c r="H34" s="8">
        <v>12990</v>
      </c>
      <c r="I34" s="32">
        <f>IF(AND(I33&lt;&gt;"",H34&lt;&gt;""),H34-H33,"")</f>
        <v>6</v>
      </c>
      <c r="J34" s="41">
        <v>38413</v>
      </c>
      <c r="K34" s="11">
        <v>0.80208333333333337</v>
      </c>
      <c r="L34" s="10">
        <v>13172</v>
      </c>
      <c r="M34" s="30">
        <f t="shared" ref="M34:M59" si="4">IF(AND(M33&lt;&gt;"",L34&lt;&gt;""),L34-L33,"")</f>
        <v>7</v>
      </c>
      <c r="N34" s="43">
        <v>38812</v>
      </c>
      <c r="O34" s="13">
        <v>0.75</v>
      </c>
      <c r="P34" s="12">
        <v>13285</v>
      </c>
      <c r="Q34" s="23">
        <f>IF(AND(Q33&lt;&gt;"",P34&lt;&gt;""),P34-P33,"")</f>
        <v>3</v>
      </c>
    </row>
    <row r="35" spans="1:17" x14ac:dyDescent="0.2">
      <c r="A35" s="1" t="s">
        <v>15</v>
      </c>
      <c r="B35" s="2">
        <v>0</v>
      </c>
      <c r="C35" s="3">
        <v>6.7988000000000007E-2</v>
      </c>
      <c r="D35" s="3">
        <f t="shared" si="3"/>
        <v>0</v>
      </c>
      <c r="E35" s="14"/>
      <c r="F35" s="38">
        <v>38386</v>
      </c>
      <c r="G35" s="9">
        <v>0.80208333333333337</v>
      </c>
      <c r="H35" s="8">
        <v>12997</v>
      </c>
      <c r="I35" s="32">
        <f t="shared" ref="I35:I58" si="5">IF(AND(I34&lt;&gt;"",H35&lt;&gt;""),H35-H34,"")</f>
        <v>7</v>
      </c>
      <c r="J35" s="41">
        <v>38414</v>
      </c>
      <c r="K35" s="11">
        <v>0.80208333333333337</v>
      </c>
      <c r="L35" s="10">
        <v>13179</v>
      </c>
      <c r="M35" s="30">
        <f t="shared" si="4"/>
        <v>7</v>
      </c>
      <c r="N35" s="43">
        <v>38819</v>
      </c>
      <c r="O35" s="13">
        <v>0.80208333333333337</v>
      </c>
      <c r="P35" s="12">
        <v>13300</v>
      </c>
      <c r="Q35" s="23">
        <f t="shared" ref="Q35:Q59" si="6">IF(AND(Q34&lt;&gt;"",P35&lt;&gt;""),P35-P34,"")</f>
        <v>15</v>
      </c>
    </row>
    <row r="36" spans="1:17" x14ac:dyDescent="0.2">
      <c r="A36" s="1" t="s">
        <v>17</v>
      </c>
      <c r="B36" s="2">
        <f>B41</f>
        <v>239</v>
      </c>
      <c r="C36" s="3">
        <v>3.7911E-2</v>
      </c>
      <c r="D36" s="3">
        <f t="shared" si="3"/>
        <v>9.0607290000000003</v>
      </c>
      <c r="E36" s="14"/>
      <c r="F36" s="38">
        <v>38754</v>
      </c>
      <c r="G36" s="9">
        <v>0.80208333333333337</v>
      </c>
      <c r="H36" s="8">
        <v>13016</v>
      </c>
      <c r="I36" s="32">
        <f t="shared" si="5"/>
        <v>19</v>
      </c>
      <c r="J36" s="41">
        <v>38782</v>
      </c>
      <c r="K36" s="11">
        <v>0.80208333333333337</v>
      </c>
      <c r="L36" s="10">
        <v>13190</v>
      </c>
      <c r="M36" s="30">
        <f t="shared" si="4"/>
        <v>11</v>
      </c>
      <c r="N36" s="43">
        <v>38825</v>
      </c>
      <c r="O36" s="13">
        <v>0.80208333333333337</v>
      </c>
      <c r="P36" s="12">
        <v>13306</v>
      </c>
      <c r="Q36" s="23">
        <f t="shared" si="6"/>
        <v>6</v>
      </c>
    </row>
    <row r="37" spans="1:17" x14ac:dyDescent="0.2">
      <c r="A37" s="1" t="s">
        <v>2</v>
      </c>
      <c r="B37" s="2">
        <v>19</v>
      </c>
      <c r="C37" s="29">
        <v>7.8899999999999998E-2</v>
      </c>
      <c r="D37" s="3">
        <f t="shared" si="3"/>
        <v>1.4990999999999999</v>
      </c>
      <c r="E37" s="14"/>
      <c r="F37" s="38">
        <v>38755</v>
      </c>
      <c r="G37" s="9">
        <v>0.80208333333333337</v>
      </c>
      <c r="H37" s="8">
        <v>13025</v>
      </c>
      <c r="I37" s="32">
        <f t="shared" si="5"/>
        <v>9</v>
      </c>
      <c r="J37" s="41">
        <v>38783</v>
      </c>
      <c r="K37" s="11">
        <v>0.80208333333333337</v>
      </c>
      <c r="L37" s="10">
        <v>13196</v>
      </c>
      <c r="M37" s="30">
        <f t="shared" si="4"/>
        <v>6</v>
      </c>
      <c r="N37" s="43">
        <v>38827</v>
      </c>
      <c r="O37" s="13">
        <v>0.80208333333333337</v>
      </c>
      <c r="P37" s="12">
        <v>13310</v>
      </c>
      <c r="Q37" s="23">
        <f t="shared" si="6"/>
        <v>4</v>
      </c>
    </row>
    <row r="38" spans="1:17" x14ac:dyDescent="0.2">
      <c r="A38" s="1" t="s">
        <v>3</v>
      </c>
      <c r="B38" s="2">
        <f>B32-B37</f>
        <v>220</v>
      </c>
      <c r="C38" s="3">
        <v>0.17330699999999999</v>
      </c>
      <c r="D38" s="3">
        <f t="shared" si="3"/>
        <v>38.127539999999996</v>
      </c>
      <c r="E38" s="14"/>
      <c r="F38" s="38">
        <v>38756</v>
      </c>
      <c r="G38" s="9">
        <v>0.80208333333333337</v>
      </c>
      <c r="H38" s="8">
        <v>13034</v>
      </c>
      <c r="I38" s="32">
        <f t="shared" si="5"/>
        <v>9</v>
      </c>
      <c r="J38" s="41">
        <v>38784</v>
      </c>
      <c r="K38" s="11">
        <v>0.80208333333333337</v>
      </c>
      <c r="L38" s="10">
        <v>13202</v>
      </c>
      <c r="M38" s="30">
        <f t="shared" si="4"/>
        <v>6</v>
      </c>
      <c r="N38" s="43" t="s">
        <v>120</v>
      </c>
      <c r="O38" s="13"/>
      <c r="P38" s="12"/>
      <c r="Q38" s="23" t="str">
        <f t="shared" si="6"/>
        <v/>
      </c>
    </row>
    <row r="39" spans="1:17" x14ac:dyDescent="0.2">
      <c r="A39" s="1" t="s">
        <v>23</v>
      </c>
      <c r="B39" s="2">
        <v>0</v>
      </c>
      <c r="C39" s="3">
        <v>0.29865000000000003</v>
      </c>
      <c r="D39" s="3">
        <f t="shared" si="3"/>
        <v>0</v>
      </c>
      <c r="E39" s="14"/>
      <c r="F39" s="38">
        <v>38757</v>
      </c>
      <c r="G39" s="9">
        <v>0.80208333333333337</v>
      </c>
      <c r="H39" s="8">
        <v>13042</v>
      </c>
      <c r="I39" s="32">
        <f t="shared" si="5"/>
        <v>8</v>
      </c>
      <c r="J39" s="41">
        <v>38785</v>
      </c>
      <c r="K39" s="11">
        <v>0.80208333333333337</v>
      </c>
      <c r="L39" s="10">
        <v>13207</v>
      </c>
      <c r="M39" s="30">
        <f t="shared" si="4"/>
        <v>5</v>
      </c>
      <c r="N39" s="43"/>
      <c r="O39" s="13"/>
      <c r="P39" s="12"/>
      <c r="Q39" s="23" t="str">
        <f t="shared" si="6"/>
        <v/>
      </c>
    </row>
    <row r="40" spans="1:17" x14ac:dyDescent="0.2">
      <c r="A40" s="1" t="s">
        <v>16</v>
      </c>
      <c r="B40" s="2">
        <v>0</v>
      </c>
      <c r="C40" s="3">
        <v>0.29865000000000003</v>
      </c>
      <c r="D40" s="3">
        <f t="shared" si="3"/>
        <v>0</v>
      </c>
      <c r="E40" s="14"/>
      <c r="F40" s="38">
        <v>38758</v>
      </c>
      <c r="G40" s="9">
        <v>0.80208333333333337</v>
      </c>
      <c r="H40" s="8">
        <v>13048</v>
      </c>
      <c r="I40" s="32">
        <f t="shared" si="5"/>
        <v>6</v>
      </c>
      <c r="J40" s="41">
        <v>38786</v>
      </c>
      <c r="K40" s="11">
        <v>0.80208333333333337</v>
      </c>
      <c r="L40" s="10">
        <v>13211</v>
      </c>
      <c r="M40" s="30">
        <f t="shared" si="4"/>
        <v>4</v>
      </c>
      <c r="N40" s="43"/>
      <c r="O40" s="13"/>
      <c r="P40" s="12"/>
      <c r="Q40" s="23" t="str">
        <f t="shared" si="6"/>
        <v/>
      </c>
    </row>
    <row r="41" spans="1:17" x14ac:dyDescent="0.2">
      <c r="A41" s="1" t="s">
        <v>18</v>
      </c>
      <c r="B41" s="2">
        <f>B32</f>
        <v>239</v>
      </c>
      <c r="C41" s="29">
        <f>B47</f>
        <v>0.30333199999999999</v>
      </c>
      <c r="D41" s="3">
        <f t="shared" si="3"/>
        <v>72.496347999999998</v>
      </c>
      <c r="E41" s="14"/>
      <c r="F41" s="38">
        <v>38761</v>
      </c>
      <c r="G41" s="9">
        <v>0.80208333333333337</v>
      </c>
      <c r="H41" s="8">
        <v>13048</v>
      </c>
      <c r="I41" s="32">
        <f t="shared" si="5"/>
        <v>0</v>
      </c>
      <c r="J41" s="41">
        <v>38789</v>
      </c>
      <c r="K41" s="11">
        <v>0.80208333333333337</v>
      </c>
      <c r="L41" s="10">
        <v>13224</v>
      </c>
      <c r="M41" s="30">
        <f t="shared" si="4"/>
        <v>13</v>
      </c>
      <c r="N41" s="43"/>
      <c r="O41" s="13"/>
      <c r="P41" s="12"/>
      <c r="Q41" s="23" t="str">
        <f t="shared" si="6"/>
        <v/>
      </c>
    </row>
    <row r="42" spans="1:17" x14ac:dyDescent="0.2">
      <c r="A42" s="1"/>
      <c r="B42" s="2"/>
      <c r="C42" s="3"/>
      <c r="D42" s="3"/>
      <c r="E42" s="14"/>
      <c r="F42" s="38">
        <v>38762</v>
      </c>
      <c r="G42" s="9">
        <v>0.66666666666666663</v>
      </c>
      <c r="H42" s="84">
        <v>13071</v>
      </c>
      <c r="I42" s="32">
        <f t="shared" si="5"/>
        <v>23</v>
      </c>
      <c r="J42" s="41">
        <v>38790</v>
      </c>
      <c r="K42" s="11">
        <v>0.80208333333333337</v>
      </c>
      <c r="L42" s="10">
        <v>13230</v>
      </c>
      <c r="M42" s="30">
        <f t="shared" si="4"/>
        <v>6</v>
      </c>
      <c r="N42" s="43"/>
      <c r="O42" s="13"/>
      <c r="P42" s="12"/>
      <c r="Q42" s="23" t="str">
        <f t="shared" si="6"/>
        <v/>
      </c>
    </row>
    <row r="43" spans="1:17" x14ac:dyDescent="0.2">
      <c r="A43" s="1" t="s">
        <v>7</v>
      </c>
      <c r="B43" s="2"/>
      <c r="C43" s="3"/>
      <c r="D43" s="7">
        <f ca="1">SUM(D33:D41)*1.2</f>
        <v>762.6495036</v>
      </c>
      <c r="E43" s="14"/>
      <c r="F43" s="38">
        <v>38763</v>
      </c>
      <c r="G43" s="9">
        <v>0.80208333333333337</v>
      </c>
      <c r="H43" s="8">
        <v>13081</v>
      </c>
      <c r="I43" s="32">
        <f t="shared" si="5"/>
        <v>10</v>
      </c>
      <c r="J43" s="41">
        <v>38791</v>
      </c>
      <c r="K43" s="11">
        <v>0.80208333333333337</v>
      </c>
      <c r="L43" s="10">
        <v>13235</v>
      </c>
      <c r="M43" s="30">
        <f t="shared" si="4"/>
        <v>5</v>
      </c>
      <c r="N43" s="43"/>
      <c r="O43" s="13"/>
      <c r="P43" s="12"/>
      <c r="Q43" s="23" t="str">
        <f t="shared" si="6"/>
        <v/>
      </c>
    </row>
    <row r="44" spans="1:17" x14ac:dyDescent="0.2">
      <c r="A44" s="1"/>
      <c r="B44" s="2"/>
      <c r="C44" s="3"/>
      <c r="D44" s="3"/>
      <c r="E44" s="14"/>
      <c r="F44" s="38">
        <v>38764</v>
      </c>
      <c r="G44" s="9">
        <v>0.80208333333333337</v>
      </c>
      <c r="H44" s="8">
        <v>13088</v>
      </c>
      <c r="I44" s="32">
        <f t="shared" si="5"/>
        <v>7</v>
      </c>
      <c r="J44" s="41">
        <v>38792</v>
      </c>
      <c r="K44" s="11">
        <v>0.80208333333333337</v>
      </c>
      <c r="L44" s="10">
        <v>13240</v>
      </c>
      <c r="M44" s="30">
        <f t="shared" si="4"/>
        <v>5</v>
      </c>
      <c r="N44" s="43"/>
      <c r="O44" s="13"/>
      <c r="P44" s="12"/>
      <c r="Q44" s="23" t="str">
        <f t="shared" si="6"/>
        <v/>
      </c>
    </row>
    <row r="45" spans="1:17" x14ac:dyDescent="0.2">
      <c r="A45" s="1" t="s">
        <v>23</v>
      </c>
      <c r="B45" s="26">
        <v>0.29865000000000003</v>
      </c>
      <c r="C45" s="3"/>
      <c r="D45" s="26"/>
      <c r="E45" s="14"/>
      <c r="F45" s="38">
        <v>38765</v>
      </c>
      <c r="G45" s="9">
        <v>0.80208333333333337</v>
      </c>
      <c r="H45" s="8">
        <v>13095</v>
      </c>
      <c r="I45" s="32">
        <f t="shared" si="5"/>
        <v>7</v>
      </c>
      <c r="J45" s="41">
        <v>38793</v>
      </c>
      <c r="K45" s="11">
        <v>0.80208333333333337</v>
      </c>
      <c r="L45" s="10">
        <v>13245</v>
      </c>
      <c r="M45" s="30">
        <f t="shared" si="4"/>
        <v>5</v>
      </c>
      <c r="N45" s="43"/>
      <c r="O45" s="13"/>
      <c r="P45" s="12"/>
      <c r="Q45" s="23" t="str">
        <f t="shared" si="6"/>
        <v/>
      </c>
    </row>
    <row r="46" spans="1:17" x14ac:dyDescent="0.2">
      <c r="A46" s="1" t="s">
        <v>16</v>
      </c>
      <c r="B46" s="26">
        <v>0.29865000000000003</v>
      </c>
      <c r="C46" s="3"/>
      <c r="D46" s="3"/>
      <c r="E46" s="14"/>
      <c r="F46" s="38">
        <v>38768</v>
      </c>
      <c r="G46" s="9">
        <v>0.80208333333333337</v>
      </c>
      <c r="H46" s="8">
        <v>13111</v>
      </c>
      <c r="I46" s="32">
        <f t="shared" si="5"/>
        <v>16</v>
      </c>
      <c r="J46" s="41">
        <v>38796</v>
      </c>
      <c r="K46" s="11">
        <v>0.80208333333333337</v>
      </c>
      <c r="L46" s="10">
        <v>13252</v>
      </c>
      <c r="M46" s="30">
        <f t="shared" si="4"/>
        <v>7</v>
      </c>
      <c r="N46" s="43"/>
      <c r="O46" s="13"/>
      <c r="P46" s="12"/>
      <c r="Q46" s="23" t="str">
        <f t="shared" si="6"/>
        <v/>
      </c>
    </row>
    <row r="47" spans="1:17" x14ac:dyDescent="0.2">
      <c r="A47" s="1" t="s">
        <v>18</v>
      </c>
      <c r="B47" s="26">
        <v>0.30333199999999999</v>
      </c>
      <c r="C47" s="3"/>
      <c r="D47" s="3"/>
      <c r="E47" s="14"/>
      <c r="F47" s="38">
        <v>38769</v>
      </c>
      <c r="G47" s="9">
        <v>0.80208333333333337</v>
      </c>
      <c r="H47" s="8">
        <v>13118</v>
      </c>
      <c r="I47" s="32">
        <f t="shared" si="5"/>
        <v>7</v>
      </c>
      <c r="J47" s="41">
        <v>38797</v>
      </c>
      <c r="K47" s="11">
        <v>0.80208333333333337</v>
      </c>
      <c r="L47" s="10">
        <v>13259</v>
      </c>
      <c r="M47" s="30">
        <f t="shared" si="4"/>
        <v>7</v>
      </c>
      <c r="N47" s="43"/>
      <c r="O47" s="13"/>
      <c r="P47" s="12"/>
      <c r="Q47" s="23" t="str">
        <f t="shared" si="6"/>
        <v/>
      </c>
    </row>
    <row r="48" spans="1:17" x14ac:dyDescent="0.2">
      <c r="A48" s="1"/>
      <c r="B48" s="2"/>
      <c r="C48" s="3"/>
      <c r="D48" s="3"/>
      <c r="E48" s="14"/>
      <c r="F48" s="38">
        <v>38770</v>
      </c>
      <c r="G48" s="9">
        <v>0.80208333333333337</v>
      </c>
      <c r="H48" s="8">
        <v>13124</v>
      </c>
      <c r="I48" s="32">
        <f t="shared" si="5"/>
        <v>6</v>
      </c>
      <c r="J48" s="41">
        <v>38798</v>
      </c>
      <c r="K48" s="11">
        <v>0.80208333333333337</v>
      </c>
      <c r="L48" s="10">
        <v>13262</v>
      </c>
      <c r="M48" s="30">
        <f t="shared" si="4"/>
        <v>3</v>
      </c>
      <c r="N48" s="43"/>
      <c r="O48" s="13"/>
      <c r="P48" s="12"/>
      <c r="Q48" s="23" t="str">
        <f t="shared" si="6"/>
        <v/>
      </c>
    </row>
    <row r="49" spans="1:17" x14ac:dyDescent="0.2">
      <c r="A49" s="1"/>
      <c r="B49" s="2"/>
      <c r="C49" s="3"/>
      <c r="D49" s="3"/>
      <c r="E49" s="14"/>
      <c r="F49" s="38">
        <v>38771</v>
      </c>
      <c r="G49" s="9">
        <v>0.80208333333333337</v>
      </c>
      <c r="H49" s="8">
        <v>13130</v>
      </c>
      <c r="I49" s="32">
        <f t="shared" si="5"/>
        <v>6</v>
      </c>
      <c r="J49" s="41">
        <v>38799</v>
      </c>
      <c r="K49" s="11">
        <v>0.80208333333333337</v>
      </c>
      <c r="L49" s="10">
        <v>13265</v>
      </c>
      <c r="M49" s="30">
        <f t="shared" si="4"/>
        <v>3</v>
      </c>
      <c r="N49" s="43"/>
      <c r="O49" s="13"/>
      <c r="P49" s="12"/>
      <c r="Q49" s="23" t="str">
        <f t="shared" si="6"/>
        <v/>
      </c>
    </row>
    <row r="50" spans="1:17" x14ac:dyDescent="0.2">
      <c r="A50" s="1"/>
      <c r="B50" s="2"/>
      <c r="C50" s="3"/>
      <c r="D50" s="3"/>
      <c r="E50" s="14"/>
      <c r="F50" s="38">
        <v>38772</v>
      </c>
      <c r="G50" s="9">
        <v>0.80208333333333337</v>
      </c>
      <c r="H50" s="8">
        <v>13136</v>
      </c>
      <c r="I50" s="32">
        <f t="shared" si="5"/>
        <v>6</v>
      </c>
      <c r="J50" s="41">
        <v>38800</v>
      </c>
      <c r="K50" s="11">
        <v>0.80208333333333337</v>
      </c>
      <c r="L50" s="10">
        <v>13269</v>
      </c>
      <c r="M50" s="30">
        <f t="shared" si="4"/>
        <v>4</v>
      </c>
      <c r="N50" s="43"/>
      <c r="O50" s="13"/>
      <c r="P50" s="12"/>
      <c r="Q50" s="23" t="str">
        <f t="shared" si="6"/>
        <v/>
      </c>
    </row>
    <row r="51" spans="1:17" x14ac:dyDescent="0.2">
      <c r="A51" s="1"/>
      <c r="B51" s="2"/>
      <c r="C51" s="3"/>
      <c r="D51" s="3"/>
      <c r="E51" s="14"/>
      <c r="F51" s="38">
        <v>38775</v>
      </c>
      <c r="G51" s="9">
        <v>0.80208333333333337</v>
      </c>
      <c r="H51" s="8">
        <v>13150</v>
      </c>
      <c r="I51" s="32">
        <f t="shared" si="5"/>
        <v>14</v>
      </c>
      <c r="J51" s="41">
        <v>38803</v>
      </c>
      <c r="K51" s="11">
        <v>0.80208333333333337</v>
      </c>
      <c r="L51" s="10">
        <v>13273</v>
      </c>
      <c r="M51" s="30">
        <f t="shared" si="4"/>
        <v>4</v>
      </c>
      <c r="N51" s="43"/>
      <c r="O51" s="13"/>
      <c r="P51" s="12"/>
      <c r="Q51" s="23" t="str">
        <f t="shared" si="6"/>
        <v/>
      </c>
    </row>
    <row r="52" spans="1:17" x14ac:dyDescent="0.2">
      <c r="A52" s="1"/>
      <c r="B52" s="2"/>
      <c r="C52" s="3"/>
      <c r="D52" s="3"/>
      <c r="E52" s="14"/>
      <c r="F52" s="38">
        <v>38776</v>
      </c>
      <c r="G52" s="9">
        <v>0.80208333333333337</v>
      </c>
      <c r="H52" s="8">
        <v>13158</v>
      </c>
      <c r="I52" s="32">
        <f t="shared" si="5"/>
        <v>8</v>
      </c>
      <c r="J52" s="41">
        <v>38804</v>
      </c>
      <c r="K52" s="11">
        <v>0.80208333333333337</v>
      </c>
      <c r="L52" s="10">
        <v>13275</v>
      </c>
      <c r="M52" s="30">
        <f t="shared" si="4"/>
        <v>2</v>
      </c>
      <c r="N52" s="43"/>
      <c r="O52" s="13"/>
      <c r="P52" s="12"/>
      <c r="Q52" s="23" t="str">
        <f t="shared" si="6"/>
        <v/>
      </c>
    </row>
    <row r="53" spans="1:17" x14ac:dyDescent="0.2">
      <c r="A53" s="1"/>
      <c r="B53" s="2"/>
      <c r="C53" s="3"/>
      <c r="D53" s="3"/>
      <c r="E53" s="14"/>
      <c r="F53" s="38"/>
      <c r="G53" s="8"/>
      <c r="H53" s="8"/>
      <c r="I53" s="32" t="str">
        <f t="shared" si="5"/>
        <v/>
      </c>
      <c r="J53" s="41">
        <v>38440</v>
      </c>
      <c r="K53" s="11">
        <v>0.80208333333333337</v>
      </c>
      <c r="L53" s="10">
        <v>13277</v>
      </c>
      <c r="M53" s="30">
        <f t="shared" si="4"/>
        <v>2</v>
      </c>
      <c r="N53" s="43"/>
      <c r="O53" s="13"/>
      <c r="P53" s="12"/>
      <c r="Q53" s="23" t="str">
        <f t="shared" si="6"/>
        <v/>
      </c>
    </row>
    <row r="54" spans="1:17" x14ac:dyDescent="0.2">
      <c r="A54" s="1"/>
      <c r="B54" s="2"/>
      <c r="C54" s="3"/>
      <c r="D54" s="3"/>
      <c r="E54" s="14"/>
      <c r="F54" s="38"/>
      <c r="G54" s="8"/>
      <c r="H54" s="8"/>
      <c r="I54" s="32" t="str">
        <f t="shared" si="5"/>
        <v/>
      </c>
      <c r="J54" s="41">
        <v>38441</v>
      </c>
      <c r="K54" s="11">
        <v>0.80208333333333337</v>
      </c>
      <c r="L54" s="10">
        <v>13279</v>
      </c>
      <c r="M54" s="30">
        <f t="shared" si="4"/>
        <v>2</v>
      </c>
      <c r="N54" s="43"/>
      <c r="O54" s="13"/>
      <c r="P54" s="12"/>
      <c r="Q54" s="23" t="str">
        <f t="shared" si="6"/>
        <v/>
      </c>
    </row>
    <row r="55" spans="1:17" x14ac:dyDescent="0.2">
      <c r="A55" s="1"/>
      <c r="B55" s="2"/>
      <c r="C55" s="3"/>
      <c r="D55" s="3"/>
      <c r="E55" s="14"/>
      <c r="F55" s="38"/>
      <c r="G55" s="8"/>
      <c r="H55" s="8"/>
      <c r="I55" s="32" t="str">
        <f t="shared" si="5"/>
        <v/>
      </c>
      <c r="J55" s="41">
        <v>38442</v>
      </c>
      <c r="K55" s="11">
        <v>0.80208333333333337</v>
      </c>
      <c r="L55" s="10">
        <v>13280</v>
      </c>
      <c r="M55" s="30">
        <f t="shared" si="4"/>
        <v>1</v>
      </c>
      <c r="N55" s="43"/>
      <c r="O55" s="13"/>
      <c r="P55" s="12"/>
      <c r="Q55" s="23" t="str">
        <f t="shared" si="6"/>
        <v/>
      </c>
    </row>
    <row r="56" spans="1:17" x14ac:dyDescent="0.2">
      <c r="A56" s="1"/>
      <c r="B56" s="2"/>
      <c r="C56" s="3"/>
      <c r="D56" s="3"/>
      <c r="E56" s="14"/>
      <c r="F56" s="38"/>
      <c r="G56" s="8"/>
      <c r="H56" s="8"/>
      <c r="I56" s="32" t="str">
        <f t="shared" si="5"/>
        <v/>
      </c>
      <c r="J56" s="41"/>
      <c r="K56" s="11"/>
      <c r="L56" s="10"/>
      <c r="M56" s="30" t="str">
        <f t="shared" si="4"/>
        <v/>
      </c>
      <c r="N56" s="43"/>
      <c r="O56" s="12"/>
      <c r="P56" s="12"/>
      <c r="Q56" s="23" t="str">
        <f t="shared" si="6"/>
        <v/>
      </c>
    </row>
    <row r="57" spans="1:17" x14ac:dyDescent="0.2">
      <c r="A57" s="1"/>
      <c r="B57" s="2"/>
      <c r="C57" s="3"/>
      <c r="D57" s="3"/>
      <c r="E57" s="14"/>
      <c r="F57" s="38"/>
      <c r="G57" s="8"/>
      <c r="H57" s="8"/>
      <c r="I57" s="32" t="str">
        <f t="shared" si="5"/>
        <v/>
      </c>
      <c r="J57" s="41"/>
      <c r="K57" s="11"/>
      <c r="L57" s="10"/>
      <c r="M57" s="30" t="str">
        <f t="shared" si="4"/>
        <v/>
      </c>
      <c r="N57" s="43"/>
      <c r="O57" s="12"/>
      <c r="P57" s="12"/>
      <c r="Q57" s="23" t="str">
        <f t="shared" si="6"/>
        <v/>
      </c>
    </row>
    <row r="58" spans="1:17" x14ac:dyDescent="0.2">
      <c r="A58" s="1"/>
      <c r="B58" s="2"/>
      <c r="C58" s="3"/>
      <c r="D58" s="3"/>
      <c r="E58" s="14"/>
      <c r="F58" s="38"/>
      <c r="G58" s="8"/>
      <c r="H58" s="8"/>
      <c r="I58" s="32" t="str">
        <f t="shared" si="5"/>
        <v/>
      </c>
      <c r="J58" s="41"/>
      <c r="K58" s="11"/>
      <c r="L58" s="10"/>
      <c r="M58" s="30" t="str">
        <f t="shared" si="4"/>
        <v/>
      </c>
      <c r="N58" s="43"/>
      <c r="O58" s="12"/>
      <c r="P58" s="12"/>
      <c r="Q58" s="23" t="str">
        <f t="shared" si="6"/>
        <v/>
      </c>
    </row>
    <row r="59" spans="1:17" ht="13.5" thickBot="1" x14ac:dyDescent="0.25">
      <c r="A59" s="1"/>
      <c r="B59" s="2"/>
      <c r="C59" s="3"/>
      <c r="D59" s="3"/>
      <c r="E59" s="14"/>
      <c r="F59" s="39"/>
      <c r="G59" s="25"/>
      <c r="H59" s="16"/>
      <c r="I59" s="33" t="str">
        <f>IF(AND(I58&lt;&gt;"",H59&lt;&gt;""),H59-H58,"")</f>
        <v/>
      </c>
      <c r="J59" s="42"/>
      <c r="K59" s="28"/>
      <c r="L59" s="17"/>
      <c r="M59" s="31" t="str">
        <f t="shared" si="4"/>
        <v/>
      </c>
      <c r="N59" s="44"/>
      <c r="O59" s="18"/>
      <c r="P59" s="18"/>
      <c r="Q59" s="24" t="str">
        <f t="shared" si="6"/>
        <v/>
      </c>
    </row>
    <row r="60" spans="1:17" ht="13.5" thickTop="1" x14ac:dyDescent="0.2"/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activeCell="D14" sqref="D14"/>
    </sheetView>
  </sheetViews>
  <sheetFormatPr defaultRowHeight="12.75" x14ac:dyDescent="0.2"/>
  <cols>
    <col min="1" max="1" width="23.85546875" bestFit="1" customWidth="1"/>
    <col min="2" max="2" width="7.85546875" customWidth="1"/>
    <col min="3" max="3" width="6.42578125" customWidth="1"/>
    <col min="4" max="4" width="7.42578125" customWidth="1"/>
    <col min="6" max="6" width="9.28515625" bestFit="1" customWidth="1"/>
    <col min="7" max="7" width="5.5703125" customWidth="1"/>
    <col min="8" max="8" width="6.7109375" customWidth="1"/>
    <col min="9" max="9" width="6" customWidth="1"/>
    <col min="10" max="10" width="8.7109375" customWidth="1"/>
    <col min="11" max="11" width="5.5703125" customWidth="1"/>
    <col min="12" max="12" width="6.7109375" customWidth="1"/>
    <col min="13" max="13" width="4.28515625" customWidth="1"/>
    <col min="14" max="14" width="8.42578125" customWidth="1"/>
    <col min="15" max="15" width="5.5703125" customWidth="1"/>
    <col min="16" max="16" width="6.7109375" customWidth="1"/>
    <col min="17" max="17" width="4.28515625" customWidth="1"/>
  </cols>
  <sheetData>
    <row r="1" spans="1:17" ht="13.5" thickBot="1" x14ac:dyDescent="0.25">
      <c r="A1" s="1"/>
      <c r="B1" s="2"/>
      <c r="C1" s="3"/>
      <c r="D1" s="3"/>
      <c r="E1" s="14"/>
      <c r="F1" s="1"/>
      <c r="G1" s="1"/>
      <c r="H1" s="1"/>
      <c r="I1" s="15"/>
      <c r="J1" s="14"/>
      <c r="K1" s="34"/>
      <c r="L1" s="14"/>
      <c r="M1" s="14"/>
      <c r="N1" s="14"/>
      <c r="O1" s="14"/>
      <c r="P1" s="14"/>
      <c r="Q1" s="14"/>
    </row>
    <row r="2" spans="1:17" ht="13.5" thickTop="1" x14ac:dyDescent="0.2">
      <c r="A2" s="1" t="s">
        <v>121</v>
      </c>
      <c r="B2" s="6" t="s">
        <v>8</v>
      </c>
      <c r="C2" s="4" t="s">
        <v>5</v>
      </c>
      <c r="D2" s="4" t="s">
        <v>6</v>
      </c>
      <c r="E2" s="14"/>
      <c r="F2" s="85" t="s">
        <v>19</v>
      </c>
      <c r="G2" s="19" t="s">
        <v>10</v>
      </c>
      <c r="H2" s="19" t="s">
        <v>9</v>
      </c>
      <c r="I2" s="86" t="s">
        <v>11</v>
      </c>
      <c r="J2" s="87" t="s">
        <v>20</v>
      </c>
      <c r="K2" s="35" t="s">
        <v>10</v>
      </c>
      <c r="L2" s="20" t="s">
        <v>9</v>
      </c>
      <c r="M2" s="88" t="s">
        <v>11</v>
      </c>
      <c r="N2" s="89" t="s">
        <v>12</v>
      </c>
      <c r="O2" s="21" t="s">
        <v>10</v>
      </c>
      <c r="P2" s="21" t="s">
        <v>9</v>
      </c>
      <c r="Q2" s="22" t="s">
        <v>11</v>
      </c>
    </row>
    <row r="3" spans="1:17" x14ac:dyDescent="0.2">
      <c r="A3" s="5"/>
      <c r="B3" s="2"/>
      <c r="C3" s="3"/>
      <c r="D3" s="3"/>
      <c r="E3" s="14"/>
      <c r="F3" s="90"/>
      <c r="G3" s="8"/>
      <c r="H3" s="8"/>
      <c r="I3" s="91"/>
      <c r="J3" s="92"/>
      <c r="K3" s="11"/>
      <c r="L3" s="10"/>
      <c r="M3" s="93"/>
      <c r="N3" s="94"/>
      <c r="O3" s="12"/>
      <c r="P3" s="12"/>
      <c r="Q3" s="23"/>
    </row>
    <row r="4" spans="1:17" x14ac:dyDescent="0.2">
      <c r="A4" s="1" t="s">
        <v>0</v>
      </c>
      <c r="B4" s="2">
        <f>SUM("31/3/2005"-"4/2/2005")</f>
        <v>55</v>
      </c>
      <c r="C4" s="3"/>
      <c r="D4" s="3"/>
      <c r="E4" s="14"/>
      <c r="F4" s="90" t="s">
        <v>122</v>
      </c>
      <c r="G4" s="9">
        <v>0.8125</v>
      </c>
      <c r="H4" s="8">
        <v>11878</v>
      </c>
      <c r="I4" s="91">
        <f>H4-H3</f>
        <v>11878</v>
      </c>
      <c r="J4" s="92" t="s">
        <v>123</v>
      </c>
      <c r="K4" s="11">
        <v>0.73958333333333337</v>
      </c>
      <c r="L4" s="10">
        <v>12066</v>
      </c>
      <c r="M4" s="30">
        <f>IF(AND(I30&lt;&gt;"",L4&lt;&gt;""),L4-L3,L4-MAX(H4:H30))</f>
        <v>9</v>
      </c>
      <c r="N4" s="94" t="s">
        <v>124</v>
      </c>
      <c r="O4" s="13">
        <v>0.69791666666666663</v>
      </c>
      <c r="P4" s="12">
        <v>12251</v>
      </c>
      <c r="Q4" s="23">
        <f>IF(AND(M30&lt;&gt;"",P4&lt;&gt;""),P4-P3,P4-MAX(L4:L30))</f>
        <v>10</v>
      </c>
    </row>
    <row r="5" spans="1:17" x14ac:dyDescent="0.2">
      <c r="A5" s="1" t="s">
        <v>4</v>
      </c>
      <c r="B5" s="2">
        <f>MAX(H4:H30, L4:L30, P4:P30)-12078</f>
        <v>276</v>
      </c>
      <c r="C5" s="3"/>
      <c r="D5" s="3"/>
      <c r="E5" s="14"/>
      <c r="F5" s="90" t="s">
        <v>125</v>
      </c>
      <c r="G5" s="9">
        <v>0.7631944444444444</v>
      </c>
      <c r="H5" s="8">
        <v>11889</v>
      </c>
      <c r="I5" s="32">
        <f>IF(AND(I4&lt;&gt;"",H5&lt;&gt;""),H5-H4,"")</f>
        <v>11</v>
      </c>
      <c r="J5" s="92" t="s">
        <v>126</v>
      </c>
      <c r="K5" s="11">
        <v>0.75694444444444453</v>
      </c>
      <c r="L5" s="10">
        <v>12073</v>
      </c>
      <c r="M5" s="30">
        <f>IF(AND(M4&lt;&gt;"",L5&lt;&gt;""),L5-L4,"")</f>
        <v>7</v>
      </c>
      <c r="N5" s="94" t="s">
        <v>127</v>
      </c>
      <c r="O5" s="13">
        <v>0.70833333333333337</v>
      </c>
      <c r="P5" s="12">
        <v>12260</v>
      </c>
      <c r="Q5" s="23">
        <f>IF(AND(Q4&lt;&gt;"",P5&lt;&gt;""),P5-P4,"")</f>
        <v>9</v>
      </c>
    </row>
    <row r="6" spans="1:17" x14ac:dyDescent="0.2">
      <c r="A6" s="1" t="s">
        <v>1</v>
      </c>
      <c r="B6" s="2">
        <f>B4</f>
        <v>55</v>
      </c>
      <c r="C6" s="3">
        <v>8.2192000000000001E-2</v>
      </c>
      <c r="D6" s="3">
        <f>B6*C6</f>
        <v>4.5205599999999997</v>
      </c>
      <c r="E6" s="14"/>
      <c r="F6" s="90" t="s">
        <v>128</v>
      </c>
      <c r="G6" s="9">
        <v>0.71180555555555547</v>
      </c>
      <c r="H6" s="8">
        <v>11902</v>
      </c>
      <c r="I6" s="32">
        <f t="shared" ref="I6:I29" si="0">IF(AND(I5&lt;&gt;"",H6&lt;&gt;""),H6-H5,"")</f>
        <v>13</v>
      </c>
      <c r="J6" s="92" t="s">
        <v>129</v>
      </c>
      <c r="K6" s="11">
        <v>0.71180555555555547</v>
      </c>
      <c r="L6" s="95">
        <v>12078</v>
      </c>
      <c r="M6" s="30">
        <f t="shared" ref="M6:M30" si="1">IF(AND(M5&lt;&gt;"",L6&lt;&gt;""),L6-L5,"")</f>
        <v>5</v>
      </c>
      <c r="N6" s="94" t="s">
        <v>130</v>
      </c>
      <c r="O6" s="13">
        <v>0.69791666666666663</v>
      </c>
      <c r="P6" s="12">
        <v>12270</v>
      </c>
      <c r="Q6" s="23">
        <f t="shared" ref="Q6:Q30" si="2">IF(AND(Q5&lt;&gt;"",P6&lt;&gt;""),P6-P5,"")</f>
        <v>10</v>
      </c>
    </row>
    <row r="7" spans="1:17" x14ac:dyDescent="0.2">
      <c r="A7" s="1" t="s">
        <v>15</v>
      </c>
      <c r="B7" s="2"/>
      <c r="C7" s="3">
        <v>6.7988000000000007E-2</v>
      </c>
      <c r="D7" s="3">
        <f>B7*C7</f>
        <v>0</v>
      </c>
      <c r="E7" s="14"/>
      <c r="F7" s="90" t="s">
        <v>131</v>
      </c>
      <c r="G7" s="9">
        <v>0.70972222222222225</v>
      </c>
      <c r="H7" s="8">
        <v>11909</v>
      </c>
      <c r="I7" s="32">
        <f t="shared" si="0"/>
        <v>7</v>
      </c>
      <c r="J7" s="92" t="s">
        <v>132</v>
      </c>
      <c r="K7" s="11">
        <v>0.69444444444444453</v>
      </c>
      <c r="L7" s="10">
        <v>12085</v>
      </c>
      <c r="M7" s="30">
        <f t="shared" si="1"/>
        <v>7</v>
      </c>
      <c r="N7" s="94" t="s">
        <v>133</v>
      </c>
      <c r="O7" s="13">
        <v>0.70833333333333337</v>
      </c>
      <c r="P7" s="12">
        <v>12278</v>
      </c>
      <c r="Q7" s="23">
        <f t="shared" si="2"/>
        <v>8</v>
      </c>
    </row>
    <row r="8" spans="1:17" x14ac:dyDescent="0.2">
      <c r="A8" s="1" t="s">
        <v>17</v>
      </c>
      <c r="B8" s="2">
        <f>B12</f>
        <v>276</v>
      </c>
      <c r="C8" s="3">
        <v>3.7911E-2</v>
      </c>
      <c r="D8" s="3">
        <f>B8*C8</f>
        <v>10.463436</v>
      </c>
      <c r="E8" s="14"/>
      <c r="F8" s="90" t="s">
        <v>134</v>
      </c>
      <c r="G8" s="9">
        <v>0.77777777777777779</v>
      </c>
      <c r="H8" s="8">
        <v>11918</v>
      </c>
      <c r="I8" s="32">
        <f t="shared" si="0"/>
        <v>9</v>
      </c>
      <c r="J8" s="92" t="s">
        <v>135</v>
      </c>
      <c r="K8" s="11">
        <v>0.6875</v>
      </c>
      <c r="L8" s="10">
        <v>12106</v>
      </c>
      <c r="M8" s="30">
        <f t="shared" si="1"/>
        <v>21</v>
      </c>
      <c r="N8" s="94" t="s">
        <v>136</v>
      </c>
      <c r="O8" s="13">
        <v>0.70833333333333337</v>
      </c>
      <c r="P8" s="12">
        <v>12286</v>
      </c>
      <c r="Q8" s="23">
        <f t="shared" si="2"/>
        <v>8</v>
      </c>
    </row>
    <row r="9" spans="1:17" x14ac:dyDescent="0.2">
      <c r="A9" s="1" t="s">
        <v>2</v>
      </c>
      <c r="B9" s="2">
        <v>49</v>
      </c>
      <c r="C9" s="29">
        <v>4.4849E-2</v>
      </c>
      <c r="D9" s="3">
        <f>B9*C9</f>
        <v>2.1976010000000001</v>
      </c>
      <c r="E9" s="14"/>
      <c r="F9" s="90" t="s">
        <v>137</v>
      </c>
      <c r="G9" s="9">
        <v>0.67361111111111116</v>
      </c>
      <c r="H9" s="8">
        <v>11941</v>
      </c>
      <c r="I9" s="32">
        <f t="shared" si="0"/>
        <v>23</v>
      </c>
      <c r="J9" s="92" t="s">
        <v>138</v>
      </c>
      <c r="K9" s="11">
        <v>0.6875</v>
      </c>
      <c r="L9" s="10">
        <v>12115</v>
      </c>
      <c r="M9" s="30">
        <f t="shared" si="1"/>
        <v>9</v>
      </c>
      <c r="N9" s="94" t="s">
        <v>139</v>
      </c>
      <c r="O9" s="13">
        <v>0.71180555555555547</v>
      </c>
      <c r="P9" s="12">
        <v>12293</v>
      </c>
      <c r="Q9" s="23">
        <f t="shared" si="2"/>
        <v>7</v>
      </c>
    </row>
    <row r="10" spans="1:17" x14ac:dyDescent="0.2">
      <c r="A10" s="1" t="s">
        <v>3</v>
      </c>
      <c r="B10" s="2">
        <f>B5-B9</f>
        <v>227</v>
      </c>
      <c r="C10" s="3">
        <v>0.17330699999999999</v>
      </c>
      <c r="D10" s="3">
        <f>B10*C10</f>
        <v>39.340688999999998</v>
      </c>
      <c r="E10" s="14"/>
      <c r="F10" s="90" t="s">
        <v>140</v>
      </c>
      <c r="G10" s="9">
        <v>0.72222222222222221</v>
      </c>
      <c r="H10" s="8">
        <v>11951</v>
      </c>
      <c r="I10" s="32">
        <f t="shared" si="0"/>
        <v>10</v>
      </c>
      <c r="J10" s="92" t="s">
        <v>141</v>
      </c>
      <c r="K10" s="11">
        <v>0.72916666666666663</v>
      </c>
      <c r="L10" s="10">
        <v>12123</v>
      </c>
      <c r="M10" s="30">
        <f t="shared" si="1"/>
        <v>8</v>
      </c>
      <c r="N10" s="94" t="s">
        <v>142</v>
      </c>
      <c r="O10" s="13">
        <v>0.70833333333333337</v>
      </c>
      <c r="P10" s="12">
        <v>12300</v>
      </c>
      <c r="Q10" s="23">
        <f t="shared" si="2"/>
        <v>7</v>
      </c>
    </row>
    <row r="11" spans="1:17" x14ac:dyDescent="0.2">
      <c r="A11" s="1" t="s">
        <v>16</v>
      </c>
      <c r="B11" s="2"/>
      <c r="C11" s="3"/>
      <c r="D11" s="3"/>
      <c r="E11" s="14"/>
      <c r="F11" s="90" t="s">
        <v>143</v>
      </c>
      <c r="G11" s="9">
        <v>0.71180555555555547</v>
      </c>
      <c r="H11" s="8">
        <v>11960</v>
      </c>
      <c r="I11" s="32">
        <f t="shared" si="0"/>
        <v>9</v>
      </c>
      <c r="J11" s="92" t="s">
        <v>144</v>
      </c>
      <c r="K11" s="11">
        <v>0.6875</v>
      </c>
      <c r="L11" s="10">
        <v>12130</v>
      </c>
      <c r="M11" s="30">
        <f t="shared" si="1"/>
        <v>7</v>
      </c>
      <c r="N11" s="94" t="s">
        <v>145</v>
      </c>
      <c r="O11" s="13">
        <v>0.71180555555555547</v>
      </c>
      <c r="P11" s="12">
        <v>12304</v>
      </c>
      <c r="Q11" s="23">
        <f t="shared" si="2"/>
        <v>4</v>
      </c>
    </row>
    <row r="12" spans="1:17" x14ac:dyDescent="0.2">
      <c r="A12" s="1" t="s">
        <v>18</v>
      </c>
      <c r="B12" s="2">
        <f>B5-B11</f>
        <v>276</v>
      </c>
      <c r="C12" s="29">
        <v>0.25393100000000002</v>
      </c>
      <c r="D12" s="3">
        <f>B12*C12</f>
        <v>70.084956000000005</v>
      </c>
      <c r="E12" s="14"/>
      <c r="F12" s="90" t="s">
        <v>146</v>
      </c>
      <c r="G12" s="9">
        <v>0.70833333333333337</v>
      </c>
      <c r="H12" s="8">
        <v>11969</v>
      </c>
      <c r="I12" s="32">
        <f t="shared" si="0"/>
        <v>9</v>
      </c>
      <c r="J12" s="92" t="s">
        <v>147</v>
      </c>
      <c r="K12" s="11">
        <v>0.70833333333333337</v>
      </c>
      <c r="L12" s="10">
        <v>12137</v>
      </c>
      <c r="M12" s="30">
        <f t="shared" si="1"/>
        <v>7</v>
      </c>
      <c r="N12" s="94" t="s">
        <v>148</v>
      </c>
      <c r="O12" s="13">
        <v>0.72222222222222221</v>
      </c>
      <c r="P12" s="12">
        <v>12307</v>
      </c>
      <c r="Q12" s="23">
        <f t="shared" si="2"/>
        <v>3</v>
      </c>
    </row>
    <row r="13" spans="1:17" x14ac:dyDescent="0.2">
      <c r="A13" s="1"/>
      <c r="B13" s="2"/>
      <c r="C13" s="3"/>
      <c r="D13" s="3"/>
      <c r="E13" s="14"/>
      <c r="F13" s="90" t="s">
        <v>149</v>
      </c>
      <c r="G13" s="9">
        <v>0.71875</v>
      </c>
      <c r="H13" s="8">
        <v>11975</v>
      </c>
      <c r="I13" s="32">
        <f t="shared" si="0"/>
        <v>6</v>
      </c>
      <c r="J13" s="92" t="s">
        <v>150</v>
      </c>
      <c r="K13" s="11">
        <v>0.6875</v>
      </c>
      <c r="L13" s="10">
        <v>12148</v>
      </c>
      <c r="M13" s="30">
        <f t="shared" si="1"/>
        <v>11</v>
      </c>
      <c r="N13" s="94" t="s">
        <v>151</v>
      </c>
      <c r="O13" s="13">
        <v>0.72222222222222221</v>
      </c>
      <c r="P13" s="12">
        <v>12310</v>
      </c>
      <c r="Q13" s="23">
        <f t="shared" si="2"/>
        <v>3</v>
      </c>
    </row>
    <row r="14" spans="1:17" x14ac:dyDescent="0.2">
      <c r="A14" s="1" t="s">
        <v>7</v>
      </c>
      <c r="B14" s="2"/>
      <c r="C14" s="3"/>
      <c r="D14" s="7">
        <f>SUM(D6:D12)*1.2</f>
        <v>151.92869039999999</v>
      </c>
      <c r="E14" s="14"/>
      <c r="F14" s="90" t="s">
        <v>152</v>
      </c>
      <c r="G14" s="9">
        <v>0.67708333333333337</v>
      </c>
      <c r="H14" s="8">
        <v>11995</v>
      </c>
      <c r="I14" s="32">
        <f t="shared" si="0"/>
        <v>20</v>
      </c>
      <c r="J14" s="92" t="s">
        <v>153</v>
      </c>
      <c r="K14" s="11">
        <v>0.6875</v>
      </c>
      <c r="L14" s="10">
        <v>12155</v>
      </c>
      <c r="M14" s="30">
        <f t="shared" si="1"/>
        <v>7</v>
      </c>
      <c r="N14" s="94" t="s">
        <v>154</v>
      </c>
      <c r="O14" s="13">
        <v>0.70833333333333337</v>
      </c>
      <c r="P14" s="12">
        <v>12315</v>
      </c>
      <c r="Q14" s="23">
        <f t="shared" si="2"/>
        <v>5</v>
      </c>
    </row>
    <row r="15" spans="1:17" x14ac:dyDescent="0.2">
      <c r="A15" s="1"/>
      <c r="B15" s="2"/>
      <c r="C15" s="3"/>
      <c r="D15" s="3"/>
      <c r="E15" s="14"/>
      <c r="F15" s="90" t="s">
        <v>155</v>
      </c>
      <c r="G15" s="9">
        <v>0.70833333333333337</v>
      </c>
      <c r="H15" s="8">
        <v>12002</v>
      </c>
      <c r="I15" s="32">
        <f t="shared" si="0"/>
        <v>7</v>
      </c>
      <c r="J15" s="92" t="s">
        <v>156</v>
      </c>
      <c r="K15" s="11">
        <v>0.69444444444444453</v>
      </c>
      <c r="L15" s="10">
        <v>12161</v>
      </c>
      <c r="M15" s="30">
        <f t="shared" si="1"/>
        <v>6</v>
      </c>
      <c r="N15" s="94" t="s">
        <v>157</v>
      </c>
      <c r="O15" s="13">
        <v>0.70833333333333337</v>
      </c>
      <c r="P15" s="12">
        <v>12319</v>
      </c>
      <c r="Q15" s="23">
        <f t="shared" si="2"/>
        <v>4</v>
      </c>
    </row>
    <row r="16" spans="1:17" x14ac:dyDescent="0.2">
      <c r="A16" s="1"/>
      <c r="B16" s="2"/>
      <c r="C16" s="3"/>
      <c r="D16" s="3"/>
      <c r="E16" s="14"/>
      <c r="F16" s="90" t="s">
        <v>158</v>
      </c>
      <c r="G16" s="9">
        <v>0.77083333333333337</v>
      </c>
      <c r="H16" s="8">
        <v>12013</v>
      </c>
      <c r="I16" s="32">
        <f t="shared" si="0"/>
        <v>11</v>
      </c>
      <c r="J16" s="92" t="s">
        <v>159</v>
      </c>
      <c r="K16" s="11">
        <v>0.6875</v>
      </c>
      <c r="L16" s="10">
        <v>12167</v>
      </c>
      <c r="M16" s="30">
        <f t="shared" si="1"/>
        <v>6</v>
      </c>
      <c r="N16" s="94" t="s">
        <v>160</v>
      </c>
      <c r="O16" s="13">
        <v>0.72916666666666663</v>
      </c>
      <c r="P16" s="12">
        <v>12321</v>
      </c>
      <c r="Q16" s="23">
        <f t="shared" si="2"/>
        <v>2</v>
      </c>
    </row>
    <row r="17" spans="1:17" x14ac:dyDescent="0.2">
      <c r="A17" s="1"/>
      <c r="B17" s="2"/>
      <c r="C17" s="3"/>
      <c r="D17" s="3"/>
      <c r="E17" s="14"/>
      <c r="F17" s="90" t="s">
        <v>161</v>
      </c>
      <c r="G17" s="9">
        <v>0.72222222222222221</v>
      </c>
      <c r="H17" s="8">
        <v>12021</v>
      </c>
      <c r="I17" s="32">
        <f t="shared" si="0"/>
        <v>8</v>
      </c>
      <c r="J17" s="92" t="s">
        <v>162</v>
      </c>
      <c r="K17" s="11">
        <v>0.6875</v>
      </c>
      <c r="L17" s="10">
        <v>12173</v>
      </c>
      <c r="M17" s="30">
        <f t="shared" si="1"/>
        <v>6</v>
      </c>
      <c r="N17" s="94" t="s">
        <v>163</v>
      </c>
      <c r="O17" s="13">
        <v>0.70833333333333337</v>
      </c>
      <c r="P17" s="12">
        <v>12322</v>
      </c>
      <c r="Q17" s="23">
        <f t="shared" si="2"/>
        <v>1</v>
      </c>
    </row>
    <row r="18" spans="1:17" x14ac:dyDescent="0.2">
      <c r="A18" s="1" t="s">
        <v>164</v>
      </c>
      <c r="B18" s="96">
        <v>848</v>
      </c>
      <c r="C18" s="3"/>
      <c r="D18" s="26"/>
      <c r="E18" s="14"/>
      <c r="F18" s="90" t="s">
        <v>165</v>
      </c>
      <c r="G18" s="9">
        <v>0.67708333333333337</v>
      </c>
      <c r="H18" s="8">
        <v>12030</v>
      </c>
      <c r="I18" s="32">
        <f t="shared" si="0"/>
        <v>9</v>
      </c>
      <c r="J18" s="92" t="s">
        <v>166</v>
      </c>
      <c r="K18" s="11">
        <v>0.75</v>
      </c>
      <c r="L18" s="10">
        <v>12180</v>
      </c>
      <c r="M18" s="30">
        <f t="shared" si="1"/>
        <v>7</v>
      </c>
      <c r="N18" s="94" t="s">
        <v>167</v>
      </c>
      <c r="O18" s="13">
        <v>0.72916666666666663</v>
      </c>
      <c r="P18" s="12">
        <v>12322</v>
      </c>
      <c r="Q18" s="23">
        <f t="shared" si="2"/>
        <v>0</v>
      </c>
    </row>
    <row r="19" spans="1:17" x14ac:dyDescent="0.2">
      <c r="A19" s="1" t="s">
        <v>168</v>
      </c>
      <c r="B19" s="96">
        <f>12137-518+B18</f>
        <v>12467</v>
      </c>
      <c r="C19" s="3"/>
      <c r="D19" s="3"/>
      <c r="E19" s="14"/>
      <c r="F19" s="90" t="s">
        <v>169</v>
      </c>
      <c r="G19" s="9">
        <v>0.66666666666666663</v>
      </c>
      <c r="H19" s="8">
        <v>12057</v>
      </c>
      <c r="I19" s="32">
        <f t="shared" si="0"/>
        <v>27</v>
      </c>
      <c r="J19" s="92" t="s">
        <v>170</v>
      </c>
      <c r="K19" s="11">
        <v>0.69791666666666663</v>
      </c>
      <c r="L19" s="10">
        <v>12192</v>
      </c>
      <c r="M19" s="30">
        <f t="shared" si="1"/>
        <v>12</v>
      </c>
      <c r="N19" s="94" t="s">
        <v>171</v>
      </c>
      <c r="O19" s="13">
        <v>0.72916666666666663</v>
      </c>
      <c r="P19" s="12">
        <v>12323</v>
      </c>
      <c r="Q19" s="23">
        <f t="shared" si="2"/>
        <v>1</v>
      </c>
    </row>
    <row r="20" spans="1:17" x14ac:dyDescent="0.2">
      <c r="A20" s="1" t="s">
        <v>0</v>
      </c>
      <c r="B20" s="2">
        <f>SUM("31/3/2005"-"26/11/2004")</f>
        <v>125</v>
      </c>
      <c r="C20" s="3"/>
      <c r="D20" s="3"/>
      <c r="E20" s="14"/>
      <c r="F20" s="90"/>
      <c r="G20" s="8"/>
      <c r="H20" s="8"/>
      <c r="I20" s="32" t="str">
        <f t="shared" si="0"/>
        <v/>
      </c>
      <c r="J20" s="92" t="s">
        <v>172</v>
      </c>
      <c r="K20" s="11">
        <v>0.73611111111111116</v>
      </c>
      <c r="L20" s="10">
        <v>12201</v>
      </c>
      <c r="M20" s="30">
        <f t="shared" si="1"/>
        <v>9</v>
      </c>
      <c r="N20" s="94" t="s">
        <v>173</v>
      </c>
      <c r="O20" s="13">
        <v>0.72916666666666663</v>
      </c>
      <c r="P20" s="12">
        <v>12324</v>
      </c>
      <c r="Q20" s="23">
        <f t="shared" si="2"/>
        <v>1</v>
      </c>
    </row>
    <row r="21" spans="1:17" x14ac:dyDescent="0.2">
      <c r="A21" s="1"/>
      <c r="B21" s="2"/>
      <c r="C21" s="3"/>
      <c r="D21" s="3"/>
      <c r="E21" s="14"/>
      <c r="F21" s="90"/>
      <c r="G21" s="8"/>
      <c r="H21" s="8"/>
      <c r="I21" s="32" t="str">
        <f t="shared" si="0"/>
        <v/>
      </c>
      <c r="J21" s="92" t="s">
        <v>174</v>
      </c>
      <c r="K21" s="11">
        <v>0.69444444444444453</v>
      </c>
      <c r="L21" s="10">
        <v>12208</v>
      </c>
      <c r="M21" s="30">
        <f t="shared" si="1"/>
        <v>7</v>
      </c>
      <c r="N21" s="94" t="s">
        <v>175</v>
      </c>
      <c r="O21" s="13">
        <v>0.72916666666666663</v>
      </c>
      <c r="P21" s="12">
        <v>12325</v>
      </c>
      <c r="Q21" s="23">
        <f t="shared" si="2"/>
        <v>1</v>
      </c>
    </row>
    <row r="22" spans="1:17" x14ac:dyDescent="0.2">
      <c r="A22" s="1" t="s">
        <v>176</v>
      </c>
      <c r="B22" s="2">
        <v>752</v>
      </c>
      <c r="C22" s="3"/>
      <c r="D22" s="26"/>
      <c r="E22" s="14"/>
      <c r="F22" s="90"/>
      <c r="G22" s="8"/>
      <c r="H22" s="8"/>
      <c r="I22" s="32" t="str">
        <f t="shared" si="0"/>
        <v/>
      </c>
      <c r="J22" s="92" t="s">
        <v>177</v>
      </c>
      <c r="K22" s="11">
        <v>0.69444444444444453</v>
      </c>
      <c r="L22" s="10">
        <v>12216</v>
      </c>
      <c r="M22" s="30">
        <f t="shared" si="1"/>
        <v>8</v>
      </c>
      <c r="N22" s="94" t="s">
        <v>178</v>
      </c>
      <c r="O22" s="13">
        <v>0.75</v>
      </c>
      <c r="P22" s="12">
        <v>12326</v>
      </c>
      <c r="Q22" s="23">
        <f t="shared" si="2"/>
        <v>1</v>
      </c>
    </row>
    <row r="23" spans="1:17" x14ac:dyDescent="0.2">
      <c r="A23" s="1" t="s">
        <v>179</v>
      </c>
      <c r="B23" s="2">
        <v>12371</v>
      </c>
      <c r="C23" s="3"/>
      <c r="D23" s="3"/>
      <c r="E23" s="14"/>
      <c r="F23" s="90"/>
      <c r="G23" s="8"/>
      <c r="H23" s="8"/>
      <c r="I23" s="32" t="str">
        <f t="shared" si="0"/>
        <v/>
      </c>
      <c r="J23" s="92" t="s">
        <v>180</v>
      </c>
      <c r="K23" s="11">
        <v>0.71875</v>
      </c>
      <c r="L23" s="10">
        <v>12224</v>
      </c>
      <c r="M23" s="30">
        <f t="shared" si="1"/>
        <v>8</v>
      </c>
      <c r="N23" s="94" t="s">
        <v>181</v>
      </c>
      <c r="O23" s="13">
        <v>0.70833333333333337</v>
      </c>
      <c r="P23" s="12">
        <v>12327</v>
      </c>
      <c r="Q23" s="23">
        <f t="shared" si="2"/>
        <v>1</v>
      </c>
    </row>
    <row r="24" spans="1:17" x14ac:dyDescent="0.2">
      <c r="A24" s="1" t="s">
        <v>182</v>
      </c>
      <c r="B24" s="3">
        <f>(B23-L20)/("31/3/2005"-"22/2/2005")</f>
        <v>4.5945945945945947</v>
      </c>
      <c r="C24" s="3"/>
      <c r="D24" s="3"/>
      <c r="E24" s="14"/>
      <c r="F24" s="90"/>
      <c r="G24" s="8"/>
      <c r="H24" s="8"/>
      <c r="I24" s="32" t="str">
        <f t="shared" si="0"/>
        <v/>
      </c>
      <c r="J24" s="92" t="s">
        <v>183</v>
      </c>
      <c r="K24" s="11">
        <v>0.78125</v>
      </c>
      <c r="L24" s="10">
        <v>12232</v>
      </c>
      <c r="M24" s="30">
        <f t="shared" si="1"/>
        <v>8</v>
      </c>
      <c r="N24" s="94" t="s">
        <v>184</v>
      </c>
      <c r="O24" s="13">
        <v>0.72916666666666663</v>
      </c>
      <c r="P24" s="12">
        <v>12329</v>
      </c>
      <c r="Q24" s="23">
        <f t="shared" si="2"/>
        <v>2</v>
      </c>
    </row>
    <row r="25" spans="1:17" x14ac:dyDescent="0.2">
      <c r="A25" s="1"/>
      <c r="B25" s="2"/>
      <c r="C25" s="3"/>
      <c r="D25" s="26"/>
      <c r="E25" s="14"/>
      <c r="F25" s="90"/>
      <c r="G25" s="8"/>
      <c r="H25" s="8"/>
      <c r="I25" s="32" t="str">
        <f t="shared" si="0"/>
        <v/>
      </c>
      <c r="J25" s="92" t="s">
        <v>185</v>
      </c>
      <c r="K25" s="11">
        <v>0.71875</v>
      </c>
      <c r="L25" s="10">
        <v>12241</v>
      </c>
      <c r="M25" s="30">
        <f t="shared" si="1"/>
        <v>9</v>
      </c>
      <c r="N25" s="94" t="s">
        <v>186</v>
      </c>
      <c r="O25" s="13">
        <v>0.70833333333333337</v>
      </c>
      <c r="P25" s="12">
        <v>12331</v>
      </c>
      <c r="Q25" s="23">
        <f t="shared" si="2"/>
        <v>2</v>
      </c>
    </row>
    <row r="26" spans="1:17" x14ac:dyDescent="0.2">
      <c r="A26" s="1"/>
      <c r="B26" s="27"/>
      <c r="C26" s="3"/>
      <c r="D26" s="3"/>
      <c r="E26" s="14"/>
      <c r="F26" s="90"/>
      <c r="G26" s="8"/>
      <c r="H26" s="8"/>
      <c r="I26" s="32" t="str">
        <f t="shared" si="0"/>
        <v/>
      </c>
      <c r="J26" s="92"/>
      <c r="K26" s="11"/>
      <c r="L26" s="10"/>
      <c r="M26" s="30" t="str">
        <f t="shared" si="1"/>
        <v/>
      </c>
      <c r="N26" s="94" t="s">
        <v>187</v>
      </c>
      <c r="O26" s="13">
        <v>0.79166666666666663</v>
      </c>
      <c r="P26" s="12">
        <v>12331</v>
      </c>
      <c r="Q26" s="23">
        <f t="shared" si="2"/>
        <v>0</v>
      </c>
    </row>
    <row r="27" spans="1:17" x14ac:dyDescent="0.2">
      <c r="A27" s="1"/>
      <c r="B27" s="3"/>
      <c r="C27" s="3"/>
      <c r="D27" s="3"/>
      <c r="E27" s="14"/>
      <c r="F27" s="90"/>
      <c r="G27" s="8"/>
      <c r="H27" s="8"/>
      <c r="I27" s="32" t="str">
        <f t="shared" si="0"/>
        <v/>
      </c>
      <c r="J27" s="92"/>
      <c r="K27" s="11"/>
      <c r="L27" s="10"/>
      <c r="M27" s="30" t="str">
        <f t="shared" si="1"/>
        <v/>
      </c>
      <c r="N27" s="94"/>
      <c r="O27" s="12"/>
      <c r="P27" s="12"/>
      <c r="Q27" s="23" t="str">
        <f t="shared" si="2"/>
        <v/>
      </c>
    </row>
    <row r="28" spans="1:17" x14ac:dyDescent="0.2">
      <c r="A28" s="1"/>
      <c r="B28" s="2"/>
      <c r="C28" s="3"/>
      <c r="D28" s="3"/>
      <c r="E28" s="14"/>
      <c r="F28" s="90"/>
      <c r="G28" s="8"/>
      <c r="H28" s="8"/>
      <c r="I28" s="32" t="str">
        <f t="shared" si="0"/>
        <v/>
      </c>
      <c r="J28" s="92"/>
      <c r="K28" s="11"/>
      <c r="L28" s="10"/>
      <c r="M28" s="30" t="str">
        <f t="shared" si="1"/>
        <v/>
      </c>
      <c r="N28" s="94"/>
      <c r="O28" s="12"/>
      <c r="P28" s="12"/>
      <c r="Q28" s="23" t="str">
        <f t="shared" si="2"/>
        <v/>
      </c>
    </row>
    <row r="29" spans="1:17" x14ac:dyDescent="0.2">
      <c r="A29" s="1"/>
      <c r="B29" s="97"/>
      <c r="C29" s="3"/>
      <c r="D29" s="3"/>
      <c r="E29" s="14"/>
      <c r="F29" s="90"/>
      <c r="G29" s="8"/>
      <c r="H29" s="8"/>
      <c r="I29" s="32" t="str">
        <f t="shared" si="0"/>
        <v/>
      </c>
      <c r="J29" s="92"/>
      <c r="K29" s="11"/>
      <c r="L29" s="10"/>
      <c r="M29" s="30" t="str">
        <f t="shared" si="1"/>
        <v/>
      </c>
      <c r="N29" s="94"/>
      <c r="O29" s="12"/>
      <c r="P29" s="12"/>
      <c r="Q29" s="23" t="str">
        <f t="shared" si="2"/>
        <v/>
      </c>
    </row>
    <row r="30" spans="1:17" ht="13.5" thickBot="1" x14ac:dyDescent="0.25">
      <c r="A30" s="1"/>
      <c r="B30" s="2"/>
      <c r="C30" s="3"/>
      <c r="D30" s="3"/>
      <c r="E30" s="14"/>
      <c r="F30" s="98"/>
      <c r="G30" s="25"/>
      <c r="H30" s="16"/>
      <c r="I30" s="33" t="str">
        <f>IF(AND(I29&lt;&gt;"",H30&lt;&gt;""),H30-H29,"")</f>
        <v/>
      </c>
      <c r="J30" s="99"/>
      <c r="K30" s="28"/>
      <c r="L30" s="17"/>
      <c r="M30" s="31" t="str">
        <f t="shared" si="1"/>
        <v/>
      </c>
      <c r="N30" s="100"/>
      <c r="O30" s="18"/>
      <c r="P30" s="18">
        <v>12354</v>
      </c>
      <c r="Q30" s="24" t="str">
        <f t="shared" si="2"/>
        <v/>
      </c>
    </row>
    <row r="31" spans="1:17" ht="13.5" thickTop="1" x14ac:dyDescent="0.2">
      <c r="A31" s="1"/>
      <c r="B31" s="2"/>
      <c r="C31" s="3"/>
      <c r="D31" s="3"/>
      <c r="E31" s="14"/>
      <c r="F31" s="85" t="s">
        <v>13</v>
      </c>
      <c r="G31" s="19" t="s">
        <v>10</v>
      </c>
      <c r="H31" s="19" t="s">
        <v>9</v>
      </c>
      <c r="I31" s="86" t="s">
        <v>11</v>
      </c>
      <c r="J31" s="87" t="s">
        <v>14</v>
      </c>
      <c r="K31" s="35" t="s">
        <v>10</v>
      </c>
      <c r="L31" s="20" t="s">
        <v>9</v>
      </c>
      <c r="M31" s="88" t="s">
        <v>11</v>
      </c>
      <c r="N31" s="89" t="s">
        <v>21</v>
      </c>
      <c r="O31" s="21" t="s">
        <v>10</v>
      </c>
      <c r="P31" s="21" t="s">
        <v>9</v>
      </c>
      <c r="Q31" s="22" t="s">
        <v>11</v>
      </c>
    </row>
    <row r="32" spans="1:17" x14ac:dyDescent="0.2">
      <c r="A32" s="1"/>
      <c r="B32" s="2"/>
      <c r="C32" s="3"/>
      <c r="D32" s="3"/>
      <c r="E32" s="14"/>
      <c r="F32" s="90"/>
      <c r="G32" s="8"/>
      <c r="H32" s="8"/>
      <c r="I32" s="91"/>
      <c r="J32" s="92"/>
      <c r="K32" s="11"/>
      <c r="L32" s="10"/>
      <c r="M32" s="93"/>
      <c r="N32" s="94"/>
      <c r="O32" s="12"/>
      <c r="P32" s="12"/>
      <c r="Q32" s="23"/>
    </row>
    <row r="33" spans="1:17" x14ac:dyDescent="0.2">
      <c r="A33" s="1"/>
      <c r="B33" s="2"/>
      <c r="C33" s="3"/>
      <c r="D33" s="3"/>
      <c r="E33" s="14"/>
      <c r="F33" s="90" t="s">
        <v>122</v>
      </c>
      <c r="G33" s="9">
        <v>0.8125</v>
      </c>
      <c r="H33" s="8">
        <v>11878</v>
      </c>
      <c r="I33" s="91">
        <f>H33-H32</f>
        <v>11878</v>
      </c>
      <c r="J33" s="92" t="s">
        <v>123</v>
      </c>
      <c r="K33" s="11">
        <v>0.73958333333333337</v>
      </c>
      <c r="L33" s="10">
        <v>12066</v>
      </c>
      <c r="M33" s="30">
        <f>IF(AND(I59&lt;&gt;"",L33&lt;&gt;""),L33-L32,L33-MAX(H33:H59))</f>
        <v>9</v>
      </c>
      <c r="N33" s="94" t="s">
        <v>124</v>
      </c>
      <c r="O33" s="13">
        <v>0.69791666666666663</v>
      </c>
      <c r="P33" s="12">
        <v>12251</v>
      </c>
      <c r="Q33" s="23">
        <f>IF(AND(M59&lt;&gt;"",P33&lt;&gt;""),P33-P32,P33-MAX(L33:L59))</f>
        <v>10</v>
      </c>
    </row>
    <row r="34" spans="1:17" x14ac:dyDescent="0.2">
      <c r="A34" s="1"/>
      <c r="B34" s="2"/>
      <c r="C34" s="3"/>
      <c r="D34" s="3"/>
      <c r="E34" s="14"/>
      <c r="F34" s="90" t="s">
        <v>125</v>
      </c>
      <c r="G34" s="9">
        <v>0.7631944444444444</v>
      </c>
      <c r="H34" s="8">
        <v>11889</v>
      </c>
      <c r="I34" s="32">
        <f>IF(AND(I33&lt;&gt;"",H34&lt;&gt;""),H34-H33,"")</f>
        <v>11</v>
      </c>
      <c r="J34" s="92" t="s">
        <v>126</v>
      </c>
      <c r="K34" s="11">
        <v>0.75694444444444453</v>
      </c>
      <c r="L34" s="10">
        <v>12073</v>
      </c>
      <c r="M34" s="30">
        <f>IF(AND(M33&lt;&gt;"",L34&lt;&gt;""),L34-L33,"")</f>
        <v>7</v>
      </c>
      <c r="N34" s="94" t="s">
        <v>127</v>
      </c>
      <c r="O34" s="13">
        <v>0.70833333333333337</v>
      </c>
      <c r="P34" s="12">
        <v>12260</v>
      </c>
      <c r="Q34" s="23">
        <f>IF(AND(Q33&lt;&gt;"",P34&lt;&gt;""),P34-P33,"")</f>
        <v>9</v>
      </c>
    </row>
    <row r="35" spans="1:17" x14ac:dyDescent="0.2">
      <c r="A35" s="1"/>
      <c r="B35" s="2"/>
      <c r="C35" s="3"/>
      <c r="D35" s="3"/>
      <c r="E35" s="14"/>
      <c r="F35" s="90" t="s">
        <v>128</v>
      </c>
      <c r="G35" s="9">
        <v>0.71180555555555547</v>
      </c>
      <c r="H35" s="8">
        <v>11902</v>
      </c>
      <c r="I35" s="32">
        <f t="shared" ref="I35:I58" si="3">IF(AND(I34&lt;&gt;"",H35&lt;&gt;""),H35-H34,"")</f>
        <v>13</v>
      </c>
      <c r="J35" s="92" t="s">
        <v>129</v>
      </c>
      <c r="K35" s="11">
        <v>0.71180555555555547</v>
      </c>
      <c r="L35" s="95">
        <v>12078</v>
      </c>
      <c r="M35" s="30">
        <f t="shared" ref="M35:M59" si="4">IF(AND(M34&lt;&gt;"",L35&lt;&gt;""),L35-L34,"")</f>
        <v>5</v>
      </c>
      <c r="N35" s="94" t="s">
        <v>130</v>
      </c>
      <c r="O35" s="13">
        <v>0.69791666666666663</v>
      </c>
      <c r="P35" s="12">
        <v>12270</v>
      </c>
      <c r="Q35" s="23">
        <f t="shared" ref="Q35:Q59" si="5">IF(AND(Q34&lt;&gt;"",P35&lt;&gt;""),P35-P34,"")</f>
        <v>10</v>
      </c>
    </row>
    <row r="36" spans="1:17" x14ac:dyDescent="0.2">
      <c r="A36" s="1"/>
      <c r="B36" s="2"/>
      <c r="C36" s="3"/>
      <c r="D36" s="3"/>
      <c r="E36" s="14"/>
      <c r="F36" s="90" t="s">
        <v>131</v>
      </c>
      <c r="G36" s="9">
        <v>0.70972222222222225</v>
      </c>
      <c r="H36" s="8">
        <v>11909</v>
      </c>
      <c r="I36" s="32">
        <f t="shared" si="3"/>
        <v>7</v>
      </c>
      <c r="J36" s="92" t="s">
        <v>132</v>
      </c>
      <c r="K36" s="11">
        <v>0.69444444444444453</v>
      </c>
      <c r="L36" s="10">
        <v>12085</v>
      </c>
      <c r="M36" s="30">
        <f t="shared" si="4"/>
        <v>7</v>
      </c>
      <c r="N36" s="94" t="s">
        <v>133</v>
      </c>
      <c r="O36" s="13">
        <v>0.70833333333333337</v>
      </c>
      <c r="P36" s="12">
        <v>12278</v>
      </c>
      <c r="Q36" s="23">
        <f t="shared" si="5"/>
        <v>8</v>
      </c>
    </row>
    <row r="37" spans="1:17" x14ac:dyDescent="0.2">
      <c r="A37" s="101"/>
      <c r="B37" s="2"/>
      <c r="C37" s="3"/>
      <c r="D37" s="3"/>
      <c r="E37" s="14"/>
      <c r="F37" s="90" t="s">
        <v>134</v>
      </c>
      <c r="G37" s="9">
        <v>0.77777777777777779</v>
      </c>
      <c r="H37" s="8">
        <v>11918</v>
      </c>
      <c r="I37" s="32">
        <f t="shared" si="3"/>
        <v>9</v>
      </c>
      <c r="J37" s="92" t="s">
        <v>135</v>
      </c>
      <c r="K37" s="11">
        <v>0.6875</v>
      </c>
      <c r="L37" s="10">
        <v>12106</v>
      </c>
      <c r="M37" s="30">
        <f t="shared" si="4"/>
        <v>21</v>
      </c>
      <c r="N37" s="94" t="s">
        <v>136</v>
      </c>
      <c r="O37" s="13">
        <v>0.70833333333333337</v>
      </c>
      <c r="P37" s="12">
        <v>12286</v>
      </c>
      <c r="Q37" s="23">
        <f t="shared" si="5"/>
        <v>8</v>
      </c>
    </row>
    <row r="38" spans="1:17" x14ac:dyDescent="0.2">
      <c r="A38" s="1"/>
      <c r="B38" s="2"/>
      <c r="C38" s="3"/>
      <c r="D38" s="3"/>
      <c r="E38" s="14"/>
      <c r="F38" s="90" t="s">
        <v>137</v>
      </c>
      <c r="G38" s="9">
        <v>0.67361111111111116</v>
      </c>
      <c r="H38" s="8">
        <v>11941</v>
      </c>
      <c r="I38" s="32">
        <f t="shared" si="3"/>
        <v>23</v>
      </c>
      <c r="J38" s="92" t="s">
        <v>138</v>
      </c>
      <c r="K38" s="11">
        <v>0.6875</v>
      </c>
      <c r="L38" s="10">
        <v>12115</v>
      </c>
      <c r="M38" s="30">
        <f t="shared" si="4"/>
        <v>9</v>
      </c>
      <c r="N38" s="94" t="s">
        <v>139</v>
      </c>
      <c r="O38" s="13">
        <v>0.71180555555555547</v>
      </c>
      <c r="P38" s="12">
        <v>12293</v>
      </c>
      <c r="Q38" s="23">
        <f t="shared" si="5"/>
        <v>7</v>
      </c>
    </row>
    <row r="39" spans="1:17" x14ac:dyDescent="0.2">
      <c r="A39" s="1"/>
      <c r="B39" s="2"/>
      <c r="C39" s="3"/>
      <c r="D39" s="3"/>
      <c r="E39" s="14"/>
      <c r="F39" s="90" t="s">
        <v>140</v>
      </c>
      <c r="G39" s="9">
        <v>0.72222222222222221</v>
      </c>
      <c r="H39" s="8">
        <v>11951</v>
      </c>
      <c r="I39" s="32">
        <f t="shared" si="3"/>
        <v>10</v>
      </c>
      <c r="J39" s="92" t="s">
        <v>141</v>
      </c>
      <c r="K39" s="11">
        <v>0.72916666666666663</v>
      </c>
      <c r="L39" s="10">
        <v>12123</v>
      </c>
      <c r="M39" s="30">
        <f t="shared" si="4"/>
        <v>8</v>
      </c>
      <c r="N39" s="94" t="s">
        <v>142</v>
      </c>
      <c r="O39" s="13">
        <v>0.70833333333333337</v>
      </c>
      <c r="P39" s="12">
        <v>12300</v>
      </c>
      <c r="Q39" s="23">
        <f t="shared" si="5"/>
        <v>7</v>
      </c>
    </row>
    <row r="40" spans="1:17" x14ac:dyDescent="0.2">
      <c r="A40" s="1"/>
      <c r="B40" s="2"/>
      <c r="C40" s="3"/>
      <c r="D40" s="3"/>
      <c r="E40" s="14"/>
      <c r="F40" s="90" t="s">
        <v>143</v>
      </c>
      <c r="G40" s="9">
        <v>0.71180555555555547</v>
      </c>
      <c r="H40" s="8">
        <v>11960</v>
      </c>
      <c r="I40" s="32">
        <f t="shared" si="3"/>
        <v>9</v>
      </c>
      <c r="J40" s="92" t="s">
        <v>144</v>
      </c>
      <c r="K40" s="11">
        <v>0.6875</v>
      </c>
      <c r="L40" s="10">
        <v>12130</v>
      </c>
      <c r="M40" s="30">
        <f t="shared" si="4"/>
        <v>7</v>
      </c>
      <c r="N40" s="94" t="s">
        <v>145</v>
      </c>
      <c r="O40" s="13">
        <v>0.71180555555555547</v>
      </c>
      <c r="P40" s="12">
        <v>12304</v>
      </c>
      <c r="Q40" s="23">
        <f t="shared" si="5"/>
        <v>4</v>
      </c>
    </row>
    <row r="41" spans="1:17" x14ac:dyDescent="0.2">
      <c r="A41" s="1"/>
      <c r="B41" s="2"/>
      <c r="C41" s="3"/>
      <c r="D41" s="3"/>
      <c r="E41" s="14"/>
      <c r="F41" s="90" t="s">
        <v>146</v>
      </c>
      <c r="G41" s="9">
        <v>0.70833333333333337</v>
      </c>
      <c r="H41" s="8">
        <v>11969</v>
      </c>
      <c r="I41" s="32">
        <f t="shared" si="3"/>
        <v>9</v>
      </c>
      <c r="J41" s="92" t="s">
        <v>147</v>
      </c>
      <c r="K41" s="11">
        <v>0.70833333333333337</v>
      </c>
      <c r="L41" s="10">
        <v>12137</v>
      </c>
      <c r="M41" s="30">
        <f t="shared" si="4"/>
        <v>7</v>
      </c>
      <c r="N41" s="94" t="s">
        <v>148</v>
      </c>
      <c r="O41" s="13">
        <v>0.72222222222222221</v>
      </c>
      <c r="P41" s="12">
        <v>12307</v>
      </c>
      <c r="Q41" s="23">
        <f t="shared" si="5"/>
        <v>3</v>
      </c>
    </row>
    <row r="42" spans="1:17" x14ac:dyDescent="0.2">
      <c r="A42" s="1"/>
      <c r="B42" s="2"/>
      <c r="C42" s="3"/>
      <c r="D42" s="3"/>
      <c r="E42" s="14"/>
      <c r="F42" s="90" t="s">
        <v>149</v>
      </c>
      <c r="G42" s="9">
        <v>0.71875</v>
      </c>
      <c r="H42" s="8">
        <v>11975</v>
      </c>
      <c r="I42" s="32">
        <f t="shared" si="3"/>
        <v>6</v>
      </c>
      <c r="J42" s="92" t="s">
        <v>150</v>
      </c>
      <c r="K42" s="11">
        <v>0.6875</v>
      </c>
      <c r="L42" s="10">
        <v>12148</v>
      </c>
      <c r="M42" s="30">
        <f t="shared" si="4"/>
        <v>11</v>
      </c>
      <c r="N42" s="94" t="s">
        <v>151</v>
      </c>
      <c r="O42" s="13">
        <v>0.72222222222222221</v>
      </c>
      <c r="P42" s="12">
        <v>12310</v>
      </c>
      <c r="Q42" s="23">
        <f t="shared" si="5"/>
        <v>3</v>
      </c>
    </row>
    <row r="43" spans="1:17" x14ac:dyDescent="0.2">
      <c r="A43" s="1"/>
      <c r="B43" s="2"/>
      <c r="C43" s="3"/>
      <c r="D43" s="3"/>
      <c r="E43" s="14"/>
      <c r="F43" s="90" t="s">
        <v>152</v>
      </c>
      <c r="G43" s="9">
        <v>0.67708333333333337</v>
      </c>
      <c r="H43" s="8">
        <v>11995</v>
      </c>
      <c r="I43" s="32">
        <f t="shared" si="3"/>
        <v>20</v>
      </c>
      <c r="J43" s="92" t="s">
        <v>153</v>
      </c>
      <c r="K43" s="11">
        <v>0.6875</v>
      </c>
      <c r="L43" s="10">
        <v>12155</v>
      </c>
      <c r="M43" s="30">
        <f t="shared" si="4"/>
        <v>7</v>
      </c>
      <c r="N43" s="94" t="s">
        <v>154</v>
      </c>
      <c r="O43" s="13">
        <v>0.70833333333333337</v>
      </c>
      <c r="P43" s="12">
        <v>12315</v>
      </c>
      <c r="Q43" s="23">
        <f t="shared" si="5"/>
        <v>5</v>
      </c>
    </row>
    <row r="44" spans="1:17" x14ac:dyDescent="0.2">
      <c r="A44" s="1"/>
      <c r="B44" s="2"/>
      <c r="C44" s="3"/>
      <c r="D44" s="3"/>
      <c r="E44" s="14"/>
      <c r="F44" s="90" t="s">
        <v>155</v>
      </c>
      <c r="G44" s="9">
        <v>0.70833333333333337</v>
      </c>
      <c r="H44" s="8">
        <v>12002</v>
      </c>
      <c r="I44" s="32">
        <f t="shared" si="3"/>
        <v>7</v>
      </c>
      <c r="J44" s="92" t="s">
        <v>156</v>
      </c>
      <c r="K44" s="11">
        <v>0.69444444444444453</v>
      </c>
      <c r="L44" s="10">
        <v>12161</v>
      </c>
      <c r="M44" s="30">
        <f t="shared" si="4"/>
        <v>6</v>
      </c>
      <c r="N44" s="94" t="s">
        <v>157</v>
      </c>
      <c r="O44" s="13">
        <v>0.70833333333333337</v>
      </c>
      <c r="P44" s="12">
        <v>12319</v>
      </c>
      <c r="Q44" s="23">
        <f t="shared" si="5"/>
        <v>4</v>
      </c>
    </row>
    <row r="45" spans="1:17" x14ac:dyDescent="0.2">
      <c r="A45" s="1"/>
      <c r="B45" s="2"/>
      <c r="C45" s="3"/>
      <c r="D45" s="3"/>
      <c r="E45" s="14"/>
      <c r="F45" s="90" t="s">
        <v>158</v>
      </c>
      <c r="G45" s="9">
        <v>0.77083333333333337</v>
      </c>
      <c r="H45" s="8">
        <v>12013</v>
      </c>
      <c r="I45" s="32">
        <f t="shared" si="3"/>
        <v>11</v>
      </c>
      <c r="J45" s="92" t="s">
        <v>159</v>
      </c>
      <c r="K45" s="11">
        <v>0.6875</v>
      </c>
      <c r="L45" s="10">
        <v>12167</v>
      </c>
      <c r="M45" s="30">
        <f t="shared" si="4"/>
        <v>6</v>
      </c>
      <c r="N45" s="94" t="s">
        <v>160</v>
      </c>
      <c r="O45" s="13">
        <v>0.72916666666666663</v>
      </c>
      <c r="P45" s="12">
        <v>12321</v>
      </c>
      <c r="Q45" s="23">
        <f t="shared" si="5"/>
        <v>2</v>
      </c>
    </row>
    <row r="46" spans="1:17" x14ac:dyDescent="0.2">
      <c r="A46" s="1"/>
      <c r="B46" s="2"/>
      <c r="C46" s="3"/>
      <c r="D46" s="3"/>
      <c r="E46" s="14"/>
      <c r="F46" s="90" t="s">
        <v>161</v>
      </c>
      <c r="G46" s="9">
        <v>0.72222222222222221</v>
      </c>
      <c r="H46" s="8">
        <v>12021</v>
      </c>
      <c r="I46" s="32">
        <f t="shared" si="3"/>
        <v>8</v>
      </c>
      <c r="J46" s="92" t="s">
        <v>162</v>
      </c>
      <c r="K46" s="11">
        <v>0.6875</v>
      </c>
      <c r="L46" s="10">
        <v>12173</v>
      </c>
      <c r="M46" s="30">
        <f t="shared" si="4"/>
        <v>6</v>
      </c>
      <c r="N46" s="94" t="s">
        <v>163</v>
      </c>
      <c r="O46" s="13">
        <v>0.70833333333333337</v>
      </c>
      <c r="P46" s="12">
        <v>12322</v>
      </c>
      <c r="Q46" s="23">
        <f t="shared" si="5"/>
        <v>1</v>
      </c>
    </row>
    <row r="47" spans="1:17" x14ac:dyDescent="0.2">
      <c r="A47" s="1"/>
      <c r="B47" s="2"/>
      <c r="C47" s="3"/>
      <c r="D47" s="3"/>
      <c r="E47" s="14"/>
      <c r="F47" s="90" t="s">
        <v>165</v>
      </c>
      <c r="G47" s="9">
        <v>0.67708333333333337</v>
      </c>
      <c r="H47" s="8">
        <v>12030</v>
      </c>
      <c r="I47" s="32">
        <f t="shared" si="3"/>
        <v>9</v>
      </c>
      <c r="J47" s="92" t="s">
        <v>166</v>
      </c>
      <c r="K47" s="11">
        <v>0.75</v>
      </c>
      <c r="L47" s="10">
        <v>12180</v>
      </c>
      <c r="M47" s="30">
        <f t="shared" si="4"/>
        <v>7</v>
      </c>
      <c r="N47" s="94" t="s">
        <v>167</v>
      </c>
      <c r="O47" s="13">
        <v>0.72916666666666663</v>
      </c>
      <c r="P47" s="12">
        <v>12322</v>
      </c>
      <c r="Q47" s="23">
        <f t="shared" si="5"/>
        <v>0</v>
      </c>
    </row>
    <row r="48" spans="1:17" x14ac:dyDescent="0.2">
      <c r="A48" s="1"/>
      <c r="B48" s="2"/>
      <c r="C48" s="3"/>
      <c r="D48" s="3"/>
      <c r="E48" s="14"/>
      <c r="F48" s="90" t="s">
        <v>169</v>
      </c>
      <c r="G48" s="9">
        <v>0.66666666666666663</v>
      </c>
      <c r="H48" s="8">
        <v>12057</v>
      </c>
      <c r="I48" s="32">
        <f t="shared" si="3"/>
        <v>27</v>
      </c>
      <c r="J48" s="92" t="s">
        <v>170</v>
      </c>
      <c r="K48" s="11">
        <v>0.69791666666666663</v>
      </c>
      <c r="L48" s="10">
        <v>12192</v>
      </c>
      <c r="M48" s="30">
        <f t="shared" si="4"/>
        <v>12</v>
      </c>
      <c r="N48" s="94" t="s">
        <v>171</v>
      </c>
      <c r="O48" s="13">
        <v>0.72916666666666663</v>
      </c>
      <c r="P48" s="12">
        <v>12323</v>
      </c>
      <c r="Q48" s="23">
        <f t="shared" si="5"/>
        <v>1</v>
      </c>
    </row>
    <row r="49" spans="1:17" x14ac:dyDescent="0.2">
      <c r="A49" s="1"/>
      <c r="B49" s="2"/>
      <c r="C49" s="3"/>
      <c r="D49" s="3"/>
      <c r="E49" s="14"/>
      <c r="F49" s="90"/>
      <c r="G49" s="8"/>
      <c r="H49" s="8"/>
      <c r="I49" s="32" t="str">
        <f t="shared" si="3"/>
        <v/>
      </c>
      <c r="J49" s="92" t="s">
        <v>172</v>
      </c>
      <c r="K49" s="11">
        <v>0.73611111111111116</v>
      </c>
      <c r="L49" s="10">
        <v>12201</v>
      </c>
      <c r="M49" s="30">
        <f t="shared" si="4"/>
        <v>9</v>
      </c>
      <c r="N49" s="94" t="s">
        <v>173</v>
      </c>
      <c r="O49" s="13">
        <v>0.72916666666666663</v>
      </c>
      <c r="P49" s="12">
        <v>12324</v>
      </c>
      <c r="Q49" s="23">
        <f t="shared" si="5"/>
        <v>1</v>
      </c>
    </row>
    <row r="50" spans="1:17" x14ac:dyDescent="0.2">
      <c r="A50" s="1"/>
      <c r="B50" s="2"/>
      <c r="C50" s="3"/>
      <c r="D50" s="3"/>
      <c r="E50" s="14"/>
      <c r="F50" s="90"/>
      <c r="G50" s="8"/>
      <c r="H50" s="8"/>
      <c r="I50" s="32" t="str">
        <f t="shared" si="3"/>
        <v/>
      </c>
      <c r="J50" s="92" t="s">
        <v>174</v>
      </c>
      <c r="K50" s="11">
        <v>0.69444444444444453</v>
      </c>
      <c r="L50" s="10">
        <v>12208</v>
      </c>
      <c r="M50" s="30">
        <f t="shared" si="4"/>
        <v>7</v>
      </c>
      <c r="N50" s="94" t="s">
        <v>175</v>
      </c>
      <c r="O50" s="13">
        <v>0.72916666666666663</v>
      </c>
      <c r="P50" s="12">
        <v>12325</v>
      </c>
      <c r="Q50" s="23">
        <f t="shared" si="5"/>
        <v>1</v>
      </c>
    </row>
    <row r="51" spans="1:17" x14ac:dyDescent="0.2">
      <c r="A51" s="1"/>
      <c r="B51" s="2"/>
      <c r="C51" s="3"/>
      <c r="D51" s="3"/>
      <c r="E51" s="14"/>
      <c r="F51" s="90"/>
      <c r="G51" s="8"/>
      <c r="H51" s="8"/>
      <c r="I51" s="32" t="str">
        <f t="shared" si="3"/>
        <v/>
      </c>
      <c r="J51" s="92" t="s">
        <v>177</v>
      </c>
      <c r="K51" s="11">
        <v>0.69444444444444453</v>
      </c>
      <c r="L51" s="10">
        <v>12216</v>
      </c>
      <c r="M51" s="30">
        <f t="shared" si="4"/>
        <v>8</v>
      </c>
      <c r="N51" s="94" t="s">
        <v>178</v>
      </c>
      <c r="O51" s="13">
        <v>0.75</v>
      </c>
      <c r="P51" s="12">
        <v>12326</v>
      </c>
      <c r="Q51" s="23">
        <f t="shared" si="5"/>
        <v>1</v>
      </c>
    </row>
    <row r="52" spans="1:17" x14ac:dyDescent="0.2">
      <c r="A52" s="1"/>
      <c r="B52" s="2"/>
      <c r="C52" s="3"/>
      <c r="D52" s="3"/>
      <c r="E52" s="14"/>
      <c r="F52" s="90"/>
      <c r="G52" s="8"/>
      <c r="H52" s="8"/>
      <c r="I52" s="32" t="str">
        <f t="shared" si="3"/>
        <v/>
      </c>
      <c r="J52" s="92" t="s">
        <v>180</v>
      </c>
      <c r="K52" s="11">
        <v>0.71875</v>
      </c>
      <c r="L52" s="10">
        <v>12224</v>
      </c>
      <c r="M52" s="30">
        <f t="shared" si="4"/>
        <v>8</v>
      </c>
      <c r="N52" s="94" t="s">
        <v>181</v>
      </c>
      <c r="O52" s="13">
        <v>0.70833333333333337</v>
      </c>
      <c r="P52" s="12">
        <v>12327</v>
      </c>
      <c r="Q52" s="23">
        <f t="shared" si="5"/>
        <v>1</v>
      </c>
    </row>
    <row r="53" spans="1:17" x14ac:dyDescent="0.2">
      <c r="A53" s="1"/>
      <c r="B53" s="2"/>
      <c r="C53" s="3"/>
      <c r="D53" s="3"/>
      <c r="E53" s="14"/>
      <c r="F53" s="90"/>
      <c r="G53" s="8"/>
      <c r="H53" s="8"/>
      <c r="I53" s="32" t="str">
        <f t="shared" si="3"/>
        <v/>
      </c>
      <c r="J53" s="92" t="s">
        <v>183</v>
      </c>
      <c r="K53" s="11">
        <v>0.78125</v>
      </c>
      <c r="L53" s="10">
        <v>12232</v>
      </c>
      <c r="M53" s="30">
        <f t="shared" si="4"/>
        <v>8</v>
      </c>
      <c r="N53" s="94" t="s">
        <v>184</v>
      </c>
      <c r="O53" s="13">
        <v>0.72916666666666663</v>
      </c>
      <c r="P53" s="12">
        <v>12329</v>
      </c>
      <c r="Q53" s="23">
        <f t="shared" si="5"/>
        <v>2</v>
      </c>
    </row>
    <row r="54" spans="1:17" x14ac:dyDescent="0.2">
      <c r="A54" s="1"/>
      <c r="B54" s="2"/>
      <c r="C54" s="3"/>
      <c r="D54" s="3"/>
      <c r="E54" s="14"/>
      <c r="F54" s="90"/>
      <c r="G54" s="8"/>
      <c r="H54" s="8"/>
      <c r="I54" s="32" t="str">
        <f t="shared" si="3"/>
        <v/>
      </c>
      <c r="J54" s="92" t="s">
        <v>185</v>
      </c>
      <c r="K54" s="11">
        <v>0.71875</v>
      </c>
      <c r="L54" s="10">
        <v>12241</v>
      </c>
      <c r="M54" s="30">
        <f t="shared" si="4"/>
        <v>9</v>
      </c>
      <c r="N54" s="94" t="s">
        <v>186</v>
      </c>
      <c r="O54" s="13">
        <v>0.70833333333333337</v>
      </c>
      <c r="P54" s="12">
        <v>12331</v>
      </c>
      <c r="Q54" s="23">
        <f t="shared" si="5"/>
        <v>2</v>
      </c>
    </row>
    <row r="55" spans="1:17" x14ac:dyDescent="0.2">
      <c r="A55" s="1"/>
      <c r="B55" s="2"/>
      <c r="C55" s="3"/>
      <c r="D55" s="3"/>
      <c r="E55" s="14"/>
      <c r="F55" s="90"/>
      <c r="G55" s="8"/>
      <c r="H55" s="8"/>
      <c r="I55" s="32" t="str">
        <f t="shared" si="3"/>
        <v/>
      </c>
      <c r="J55" s="92"/>
      <c r="K55" s="11"/>
      <c r="L55" s="10"/>
      <c r="M55" s="30" t="str">
        <f t="shared" si="4"/>
        <v/>
      </c>
      <c r="N55" s="94" t="s">
        <v>187</v>
      </c>
      <c r="O55" s="13">
        <v>0.79166666666666663</v>
      </c>
      <c r="P55" s="12">
        <v>12331</v>
      </c>
      <c r="Q55" s="23">
        <f t="shared" si="5"/>
        <v>0</v>
      </c>
    </row>
    <row r="56" spans="1:17" x14ac:dyDescent="0.2">
      <c r="A56" s="1"/>
      <c r="B56" s="2"/>
      <c r="C56" s="3"/>
      <c r="D56" s="3"/>
      <c r="E56" s="14"/>
      <c r="F56" s="90"/>
      <c r="G56" s="8"/>
      <c r="H56" s="8"/>
      <c r="I56" s="32" t="str">
        <f t="shared" si="3"/>
        <v/>
      </c>
      <c r="J56" s="92"/>
      <c r="K56" s="11"/>
      <c r="L56" s="10"/>
      <c r="M56" s="30" t="str">
        <f t="shared" si="4"/>
        <v/>
      </c>
      <c r="N56" s="94"/>
      <c r="O56" s="12"/>
      <c r="P56" s="12"/>
      <c r="Q56" s="23" t="str">
        <f t="shared" si="5"/>
        <v/>
      </c>
    </row>
    <row r="57" spans="1:17" x14ac:dyDescent="0.2">
      <c r="A57" s="1"/>
      <c r="B57" s="2"/>
      <c r="C57" s="3"/>
      <c r="D57" s="3"/>
      <c r="E57" s="14"/>
      <c r="F57" s="90"/>
      <c r="G57" s="8"/>
      <c r="H57" s="8"/>
      <c r="I57" s="32" t="str">
        <f t="shared" si="3"/>
        <v/>
      </c>
      <c r="J57" s="92"/>
      <c r="K57" s="11"/>
      <c r="L57" s="10"/>
      <c r="M57" s="30" t="str">
        <f t="shared" si="4"/>
        <v/>
      </c>
      <c r="N57" s="94"/>
      <c r="O57" s="12"/>
      <c r="P57" s="12"/>
      <c r="Q57" s="23" t="str">
        <f t="shared" si="5"/>
        <v/>
      </c>
    </row>
    <row r="58" spans="1:17" x14ac:dyDescent="0.2">
      <c r="A58" s="1"/>
      <c r="B58" s="2"/>
      <c r="C58" s="3"/>
      <c r="D58" s="3"/>
      <c r="E58" s="14"/>
      <c r="F58" s="90"/>
      <c r="G58" s="8"/>
      <c r="H58" s="8"/>
      <c r="I58" s="32" t="str">
        <f t="shared" si="3"/>
        <v/>
      </c>
      <c r="J58" s="92"/>
      <c r="K58" s="11"/>
      <c r="L58" s="10"/>
      <c r="M58" s="30" t="str">
        <f t="shared" si="4"/>
        <v/>
      </c>
      <c r="N58" s="94"/>
      <c r="O58" s="12"/>
      <c r="P58" s="12"/>
      <c r="Q58" s="23" t="str">
        <f t="shared" si="5"/>
        <v/>
      </c>
    </row>
    <row r="59" spans="1:17" ht="13.5" thickBot="1" x14ac:dyDescent="0.25">
      <c r="A59" s="1"/>
      <c r="B59" s="2"/>
      <c r="C59" s="3"/>
      <c r="D59" s="3"/>
      <c r="E59" s="14"/>
      <c r="F59" s="98"/>
      <c r="G59" s="25"/>
      <c r="H59" s="16"/>
      <c r="I59" s="33" t="str">
        <f>IF(AND(I58&lt;&gt;"",H59&lt;&gt;""),H59-H58,"")</f>
        <v/>
      </c>
      <c r="J59" s="99"/>
      <c r="K59" s="28"/>
      <c r="L59" s="17"/>
      <c r="M59" s="31" t="str">
        <f t="shared" si="4"/>
        <v/>
      </c>
      <c r="N59" s="100"/>
      <c r="O59" s="18"/>
      <c r="P59" s="18">
        <v>12354</v>
      </c>
      <c r="Q59" s="24" t="str">
        <f t="shared" si="5"/>
        <v/>
      </c>
    </row>
    <row r="60" spans="1:17" ht="13.5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activeCell="A30" sqref="A30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6" width="6.7109375" bestFit="1" customWidth="1"/>
  </cols>
  <sheetData>
    <row r="1" spans="1:18" ht="13.5" thickTop="1" x14ac:dyDescent="0.2">
      <c r="A1" s="1" t="s">
        <v>24</v>
      </c>
      <c r="B1" s="55">
        <f ca="1">IF(D51="",D52,D51+D52)</f>
        <v>207.78505805118311</v>
      </c>
      <c r="C1" s="3"/>
      <c r="D1" s="3"/>
      <c r="E1" s="37" t="s">
        <v>19</v>
      </c>
      <c r="F1" s="19" t="s">
        <v>10</v>
      </c>
      <c r="G1" s="19" t="s">
        <v>9</v>
      </c>
      <c r="H1" s="74" t="s">
        <v>11</v>
      </c>
      <c r="I1" s="45" t="s">
        <v>20</v>
      </c>
      <c r="J1" s="35" t="s">
        <v>10</v>
      </c>
      <c r="K1" s="20" t="s">
        <v>9</v>
      </c>
      <c r="L1" s="50" t="s">
        <v>11</v>
      </c>
      <c r="M1" s="48" t="s">
        <v>12</v>
      </c>
      <c r="N1" s="21" t="s">
        <v>10</v>
      </c>
      <c r="O1" s="21" t="s">
        <v>9</v>
      </c>
      <c r="P1" s="22" t="s">
        <v>11</v>
      </c>
      <c r="R1" s="122" t="s">
        <v>371</v>
      </c>
    </row>
    <row r="2" spans="1:18" x14ac:dyDescent="0.2">
      <c r="A2" s="1" t="s">
        <v>376</v>
      </c>
      <c r="B2" s="26"/>
      <c r="C2" s="3"/>
      <c r="D2" s="3"/>
      <c r="E2" s="38"/>
      <c r="F2" s="8"/>
      <c r="G2" s="8"/>
      <c r="H2" s="75"/>
      <c r="I2" s="46"/>
      <c r="J2" s="11"/>
      <c r="K2" s="10"/>
      <c r="L2" s="30"/>
      <c r="M2" s="49"/>
      <c r="N2" s="12"/>
      <c r="O2" s="12"/>
      <c r="P2" s="23"/>
      <c r="R2" s="72"/>
    </row>
    <row r="3" spans="1:18" x14ac:dyDescent="0.2">
      <c r="A3" s="1"/>
      <c r="B3" s="2"/>
      <c r="C3" s="3"/>
      <c r="D3" s="3"/>
      <c r="E3" s="38">
        <v>39387</v>
      </c>
      <c r="F3" s="9">
        <v>0.77083333333333337</v>
      </c>
      <c r="G3" s="8">
        <v>20461</v>
      </c>
      <c r="H3" s="76">
        <f>IF(G3-B16&lt;0,0,0)</f>
        <v>0</v>
      </c>
      <c r="I3" s="46">
        <v>38687</v>
      </c>
      <c r="J3" s="11">
        <v>0.77083333333333337</v>
      </c>
      <c r="K3" s="10">
        <v>20469</v>
      </c>
      <c r="L3" s="30">
        <f>IF(AND(H34&lt;&gt;"",K3&lt;&gt;""),K3-K2,K3-MAX(G3:G34))</f>
        <v>2</v>
      </c>
      <c r="M3" s="43">
        <v>38353</v>
      </c>
      <c r="N3" s="13" t="s">
        <v>33</v>
      </c>
      <c r="O3" s="12">
        <v>20526</v>
      </c>
      <c r="P3" s="23">
        <f>IF(AND(L34&lt;&gt;"",O3&lt;&gt;""),O3-O2,O3-MAX(K3:K33))</f>
        <v>0</v>
      </c>
      <c r="R3" s="123" t="s">
        <v>19</v>
      </c>
    </row>
    <row r="4" spans="1:18" x14ac:dyDescent="0.2">
      <c r="A4" s="1"/>
      <c r="B4" s="26"/>
      <c r="C4" s="129"/>
      <c r="D4" s="130"/>
      <c r="E4" s="38">
        <f>E3+1</f>
        <v>39388</v>
      </c>
      <c r="F4" s="9">
        <v>0.77083333333333337</v>
      </c>
      <c r="G4" s="8">
        <v>20461</v>
      </c>
      <c r="H4" s="75">
        <f t="shared" ref="H4:H33" si="0">IF(AND(H3&lt;&gt;"",G4&lt;&gt;""),G4-G3,"")</f>
        <v>0</v>
      </c>
      <c r="I4" s="41">
        <f>I3+1</f>
        <v>38688</v>
      </c>
      <c r="J4" s="11">
        <v>0.77083333333333337</v>
      </c>
      <c r="K4" s="10">
        <v>20472</v>
      </c>
      <c r="L4" s="30">
        <f>IF(AND(L3&lt;&gt;"",K4&lt;&gt;""),K4-K3,"")</f>
        <v>3</v>
      </c>
      <c r="M4" s="43">
        <f>M3+1</f>
        <v>38354</v>
      </c>
      <c r="N4" s="13" t="s">
        <v>26</v>
      </c>
      <c r="O4" s="12">
        <v>20526</v>
      </c>
      <c r="P4" s="23">
        <f>IF(AND(P3&lt;&gt;"",O4&lt;&gt;""),O4-O3,"")</f>
        <v>0</v>
      </c>
      <c r="R4" s="124">
        <f>SUM(H3:H32)</f>
        <v>6</v>
      </c>
    </row>
    <row r="5" spans="1:18" x14ac:dyDescent="0.2">
      <c r="A5" s="1" t="s">
        <v>398</v>
      </c>
      <c r="B5" s="26">
        <v>32.93</v>
      </c>
      <c r="C5" s="131" t="s">
        <v>360</v>
      </c>
      <c r="D5" s="132"/>
      <c r="E5" s="38">
        <f t="shared" ref="E5:E32" si="1">E4+1</f>
        <v>39389</v>
      </c>
      <c r="F5" s="9">
        <v>0.77083333333333337</v>
      </c>
      <c r="G5" s="8">
        <v>20461</v>
      </c>
      <c r="H5" s="75">
        <f t="shared" si="0"/>
        <v>0</v>
      </c>
      <c r="I5" s="41">
        <f t="shared" ref="I5:I28" si="2">I4+1</f>
        <v>38689</v>
      </c>
      <c r="J5" s="11">
        <v>0.77083333333333337</v>
      </c>
      <c r="K5" s="10">
        <v>20475</v>
      </c>
      <c r="L5" s="30">
        <f>IF(AND(L4&lt;&gt;"",K5&lt;&gt;""),K5-K4,"")</f>
        <v>3</v>
      </c>
      <c r="M5" s="43">
        <f t="shared" ref="M5:M28" si="3">M4+1</f>
        <v>38355</v>
      </c>
      <c r="N5" s="13" t="s">
        <v>290</v>
      </c>
      <c r="O5" s="12">
        <v>20526</v>
      </c>
      <c r="P5" s="23">
        <f t="shared" ref="P5:P34" si="4">IF(AND(P4&lt;&gt;"",O5&lt;&gt;""),O5-O4,"")</f>
        <v>0</v>
      </c>
      <c r="R5" s="123" t="s">
        <v>20</v>
      </c>
    </row>
    <row r="6" spans="1:18" x14ac:dyDescent="0.2">
      <c r="A6" s="1" t="s">
        <v>397</v>
      </c>
      <c r="B6" s="26">
        <v>35.799999999999997</v>
      </c>
      <c r="C6" s="131" t="s">
        <v>360</v>
      </c>
      <c r="D6" s="132"/>
      <c r="E6" s="38">
        <f t="shared" si="1"/>
        <v>39390</v>
      </c>
      <c r="F6" s="9">
        <v>0.77083333333333337</v>
      </c>
      <c r="G6" s="8">
        <v>20461</v>
      </c>
      <c r="H6" s="75">
        <f t="shared" si="0"/>
        <v>0</v>
      </c>
      <c r="I6" s="41">
        <f t="shared" si="2"/>
        <v>38690</v>
      </c>
      <c r="J6" s="11" t="s">
        <v>25</v>
      </c>
      <c r="K6" s="10">
        <v>20475</v>
      </c>
      <c r="L6" s="30">
        <f>IF(AND(L5&lt;&gt;"",K6&lt;&gt;""),K6-K5,"")</f>
        <v>0</v>
      </c>
      <c r="M6" s="43">
        <f t="shared" si="3"/>
        <v>38356</v>
      </c>
      <c r="N6" s="13" t="s">
        <v>290</v>
      </c>
      <c r="O6" s="12">
        <v>20529</v>
      </c>
      <c r="P6" s="23">
        <f t="shared" si="4"/>
        <v>3</v>
      </c>
      <c r="R6" s="72">
        <f>SUM(L3:L33)</f>
        <v>59</v>
      </c>
    </row>
    <row r="7" spans="1:18" x14ac:dyDescent="0.2">
      <c r="A7" s="1" t="s">
        <v>399</v>
      </c>
      <c r="B7" s="26">
        <v>33.700000000000003</v>
      </c>
      <c r="C7" s="133" t="s">
        <v>360</v>
      </c>
      <c r="D7" s="133"/>
      <c r="E7" s="38">
        <f t="shared" si="1"/>
        <v>39391</v>
      </c>
      <c r="F7" s="9">
        <v>0.77083333333333337</v>
      </c>
      <c r="G7" s="8">
        <v>20461</v>
      </c>
      <c r="H7" s="75">
        <f t="shared" si="0"/>
        <v>0</v>
      </c>
      <c r="I7" s="41">
        <f t="shared" si="2"/>
        <v>38691</v>
      </c>
      <c r="J7" s="11" t="s">
        <v>26</v>
      </c>
      <c r="K7" s="10">
        <v>20475</v>
      </c>
      <c r="L7" s="30">
        <f>IF(AND(L6&lt;&gt;"",K7&lt;&gt;""),K7-K6,"")</f>
        <v>0</v>
      </c>
      <c r="M7" s="43">
        <f t="shared" si="3"/>
        <v>38357</v>
      </c>
      <c r="N7" s="13" t="s">
        <v>290</v>
      </c>
      <c r="O7" s="12">
        <v>20532</v>
      </c>
      <c r="P7" s="23">
        <f t="shared" si="4"/>
        <v>3</v>
      </c>
      <c r="R7" s="123" t="s">
        <v>12</v>
      </c>
    </row>
    <row r="8" spans="1:18" x14ac:dyDescent="0.2">
      <c r="A8" s="1" t="s">
        <v>400</v>
      </c>
      <c r="B8" s="26">
        <v>38.520000000000003</v>
      </c>
      <c r="C8" s="129" t="s">
        <v>360</v>
      </c>
      <c r="D8" s="130"/>
      <c r="E8" s="38">
        <f t="shared" si="1"/>
        <v>39392</v>
      </c>
      <c r="F8" s="9" t="s">
        <v>25</v>
      </c>
      <c r="G8" s="8">
        <v>20461</v>
      </c>
      <c r="H8" s="75">
        <f t="shared" si="0"/>
        <v>0</v>
      </c>
      <c r="I8" s="41">
        <f t="shared" si="2"/>
        <v>38692</v>
      </c>
      <c r="J8" s="11">
        <v>0.77083333333333337</v>
      </c>
      <c r="K8" s="10">
        <v>20475</v>
      </c>
      <c r="L8" s="30">
        <f>IF(AND(L7&lt;&gt;"",K8&lt;&gt;""),K8-K7,"")</f>
        <v>0</v>
      </c>
      <c r="M8" s="43">
        <f t="shared" si="3"/>
        <v>38358</v>
      </c>
      <c r="N8" s="13" t="s">
        <v>117</v>
      </c>
      <c r="O8" s="12">
        <v>20532</v>
      </c>
      <c r="P8" s="23">
        <f t="shared" si="4"/>
        <v>0</v>
      </c>
      <c r="R8" s="72">
        <f>SUM(P3:P33)</f>
        <v>47</v>
      </c>
    </row>
    <row r="9" spans="1:18" x14ac:dyDescent="0.2">
      <c r="A9" s="1" t="s">
        <v>401</v>
      </c>
      <c r="B9" s="26">
        <v>0</v>
      </c>
      <c r="C9" s="128"/>
      <c r="D9" s="128"/>
      <c r="E9" s="38">
        <f t="shared" si="1"/>
        <v>39393</v>
      </c>
      <c r="F9" s="9" t="s">
        <v>26</v>
      </c>
      <c r="G9" s="8">
        <v>20461</v>
      </c>
      <c r="H9" s="75">
        <f t="shared" si="0"/>
        <v>0</v>
      </c>
      <c r="I9" s="41">
        <f t="shared" si="2"/>
        <v>38693</v>
      </c>
      <c r="J9" s="11">
        <v>0.77083333333333337</v>
      </c>
      <c r="K9" s="10">
        <v>20480</v>
      </c>
      <c r="L9" s="30">
        <f t="shared" ref="L9:L34" si="5">IF(AND(L8&lt;&gt;"",K9&lt;&gt;""),K9-K8,"")</f>
        <v>5</v>
      </c>
      <c r="M9" s="43">
        <f t="shared" si="3"/>
        <v>38359</v>
      </c>
      <c r="N9" s="13" t="s">
        <v>290</v>
      </c>
      <c r="O9" s="12">
        <v>20535</v>
      </c>
      <c r="P9" s="23">
        <f t="shared" si="4"/>
        <v>3</v>
      </c>
      <c r="R9" s="123" t="s">
        <v>13</v>
      </c>
    </row>
    <row r="10" spans="1:18" x14ac:dyDescent="0.2">
      <c r="A10" s="63" t="s">
        <v>402</v>
      </c>
      <c r="B10" s="64">
        <f>SUM(B4:B9)</f>
        <v>140.94999999999999</v>
      </c>
      <c r="C10" s="3"/>
      <c r="D10" s="3"/>
      <c r="E10" s="38">
        <f t="shared" si="1"/>
        <v>39394</v>
      </c>
      <c r="F10" s="9">
        <v>0.77083333333333337</v>
      </c>
      <c r="G10" s="8">
        <v>20461</v>
      </c>
      <c r="H10" s="75">
        <f t="shared" si="0"/>
        <v>0</v>
      </c>
      <c r="I10" s="41">
        <f t="shared" si="2"/>
        <v>38694</v>
      </c>
      <c r="J10" s="11" t="s">
        <v>67</v>
      </c>
      <c r="K10" s="10">
        <v>20480</v>
      </c>
      <c r="L10" s="30">
        <f t="shared" si="5"/>
        <v>0</v>
      </c>
      <c r="M10" s="43">
        <f t="shared" si="3"/>
        <v>38360</v>
      </c>
      <c r="N10" s="13" t="s">
        <v>25</v>
      </c>
      <c r="O10" s="12">
        <v>20535</v>
      </c>
      <c r="P10" s="23">
        <f t="shared" si="4"/>
        <v>0</v>
      </c>
      <c r="R10" s="72">
        <f>SUM(H37:H65)</f>
        <v>25</v>
      </c>
    </row>
    <row r="11" spans="1:18" x14ac:dyDescent="0.2">
      <c r="E11" s="38">
        <f t="shared" si="1"/>
        <v>39395</v>
      </c>
      <c r="F11" s="9">
        <v>0.77083333333333337</v>
      </c>
      <c r="G11" s="8">
        <v>20461</v>
      </c>
      <c r="H11" s="75">
        <f t="shared" si="0"/>
        <v>0</v>
      </c>
      <c r="I11" s="41">
        <f t="shared" si="2"/>
        <v>38695</v>
      </c>
      <c r="J11" s="11">
        <v>0.77083333333333337</v>
      </c>
      <c r="K11" s="10">
        <v>20484</v>
      </c>
      <c r="L11" s="30">
        <f t="shared" si="5"/>
        <v>4</v>
      </c>
      <c r="M11" s="43">
        <f t="shared" si="3"/>
        <v>38361</v>
      </c>
      <c r="N11" s="13" t="s">
        <v>26</v>
      </c>
      <c r="O11" s="12">
        <v>20535</v>
      </c>
      <c r="P11" s="23">
        <f t="shared" si="4"/>
        <v>0</v>
      </c>
      <c r="R11" s="123" t="s">
        <v>14</v>
      </c>
    </row>
    <row r="12" spans="1:18" x14ac:dyDescent="0.2">
      <c r="A12" s="1" t="s">
        <v>403</v>
      </c>
      <c r="B12" s="27">
        <f>(MAX(G2:G32,K3:K33,O3:O33,G37:G64,K37:K67,O37:O66)-MIN(G3,G34))</f>
        <v>147</v>
      </c>
      <c r="C12" s="3"/>
      <c r="D12" s="3"/>
      <c r="E12" s="38">
        <f t="shared" si="1"/>
        <v>39396</v>
      </c>
      <c r="F12" s="9">
        <v>0.77083333333333337</v>
      </c>
      <c r="G12" s="8">
        <v>20461</v>
      </c>
      <c r="H12" s="75">
        <f t="shared" si="0"/>
        <v>0</v>
      </c>
      <c r="I12" s="41">
        <f t="shared" si="2"/>
        <v>38696</v>
      </c>
      <c r="J12" s="11">
        <v>0.77083333333333337</v>
      </c>
      <c r="K12" s="10">
        <v>20488</v>
      </c>
      <c r="L12" s="30">
        <f t="shared" si="5"/>
        <v>4</v>
      </c>
      <c r="M12" s="43">
        <f t="shared" si="3"/>
        <v>38362</v>
      </c>
      <c r="N12" s="13" t="s">
        <v>290</v>
      </c>
      <c r="O12" s="12">
        <v>20535</v>
      </c>
      <c r="P12" s="23">
        <f>IF(AND(P11&lt;&gt;"",O12&lt;&gt;""),O12-O11,"")</f>
        <v>0</v>
      </c>
      <c r="R12" s="72">
        <f>IF(H64="",0,SUM(L37:L67))</f>
        <v>10</v>
      </c>
    </row>
    <row r="13" spans="1:18" x14ac:dyDescent="0.2">
      <c r="A13" s="1" t="s">
        <v>385</v>
      </c>
      <c r="B13" s="2">
        <f>(MAX(G3:G32,K3:K33)-'2021'!O4)*B68</f>
        <v>165.45367800000002</v>
      </c>
      <c r="C13" s="118" t="s">
        <v>205</v>
      </c>
      <c r="D13" s="119"/>
      <c r="E13" s="38">
        <f t="shared" si="1"/>
        <v>39397</v>
      </c>
      <c r="F13" s="9">
        <v>0.77083333333333337</v>
      </c>
      <c r="G13" s="8">
        <v>20461</v>
      </c>
      <c r="H13" s="75">
        <f t="shared" si="0"/>
        <v>0</v>
      </c>
      <c r="I13" s="41">
        <f t="shared" si="2"/>
        <v>38697</v>
      </c>
      <c r="J13" s="11" t="s">
        <v>25</v>
      </c>
      <c r="K13" s="10">
        <v>20488</v>
      </c>
      <c r="L13" s="30">
        <f t="shared" si="5"/>
        <v>0</v>
      </c>
      <c r="M13" s="43">
        <f t="shared" si="3"/>
        <v>38363</v>
      </c>
      <c r="N13" s="13" t="s">
        <v>290</v>
      </c>
      <c r="O13" s="12">
        <v>20540</v>
      </c>
      <c r="P13" s="23">
        <f t="shared" si="4"/>
        <v>5</v>
      </c>
      <c r="R13" s="123" t="s">
        <v>21</v>
      </c>
    </row>
    <row r="14" spans="1:18" x14ac:dyDescent="0.2">
      <c r="A14" s="1" t="s">
        <v>404</v>
      </c>
      <c r="B14" s="2">
        <f>IF(O3="",0,((MAX(O3:O33,G37:G67,K37:K67,O37:O67))-O3)*B68)</f>
        <v>83.748158000000004</v>
      </c>
      <c r="C14" s="3"/>
      <c r="D14" s="3"/>
      <c r="E14" s="38">
        <f t="shared" si="1"/>
        <v>39398</v>
      </c>
      <c r="F14" s="9">
        <v>0.77083333333333337</v>
      </c>
      <c r="G14" s="8">
        <v>20461</v>
      </c>
      <c r="H14" s="75">
        <f t="shared" si="0"/>
        <v>0</v>
      </c>
      <c r="I14" s="41">
        <f t="shared" si="2"/>
        <v>38698</v>
      </c>
      <c r="J14" s="11" t="s">
        <v>26</v>
      </c>
      <c r="K14" s="10">
        <v>20488</v>
      </c>
      <c r="L14" s="30">
        <f t="shared" si="5"/>
        <v>0</v>
      </c>
      <c r="M14" s="43">
        <f t="shared" si="3"/>
        <v>38364</v>
      </c>
      <c r="N14" s="13" t="s">
        <v>290</v>
      </c>
      <c r="O14" s="12">
        <v>20543</v>
      </c>
      <c r="P14" s="23">
        <f t="shared" si="4"/>
        <v>3</v>
      </c>
      <c r="R14" s="72">
        <f>IF(H66="",0,SUM(L39:L69))</f>
        <v>0</v>
      </c>
    </row>
    <row r="15" spans="1:18" ht="13.5" thickBot="1" x14ac:dyDescent="0.25">
      <c r="C15" s="3"/>
      <c r="D15" s="3"/>
      <c r="E15" s="38">
        <f t="shared" si="1"/>
        <v>39399</v>
      </c>
      <c r="F15" s="9" t="s">
        <v>25</v>
      </c>
      <c r="G15" s="8">
        <v>20461</v>
      </c>
      <c r="H15" s="75">
        <f t="shared" si="0"/>
        <v>0</v>
      </c>
      <c r="I15" s="41">
        <f t="shared" si="2"/>
        <v>38699</v>
      </c>
      <c r="J15" s="11">
        <v>0.77083333333333337</v>
      </c>
      <c r="K15" s="10">
        <v>20488</v>
      </c>
      <c r="L15" s="30">
        <f t="shared" si="5"/>
        <v>0</v>
      </c>
      <c r="M15" s="43">
        <f t="shared" si="3"/>
        <v>38365</v>
      </c>
      <c r="N15" s="13" t="s">
        <v>290</v>
      </c>
      <c r="O15" s="12">
        <v>20545</v>
      </c>
      <c r="P15" s="23">
        <f t="shared" si="4"/>
        <v>2</v>
      </c>
      <c r="R15" s="72"/>
    </row>
    <row r="16" spans="1:18" ht="14.25" thickTop="1" thickBot="1" x14ac:dyDescent="0.25">
      <c r="A16" s="1" t="s">
        <v>58</v>
      </c>
      <c r="B16" s="2">
        <v>20508</v>
      </c>
      <c r="C16" s="125" t="s">
        <v>360</v>
      </c>
      <c r="D16" s="105">
        <v>44440</v>
      </c>
      <c r="E16" s="38">
        <f t="shared" si="1"/>
        <v>39400</v>
      </c>
      <c r="F16" s="9" t="s">
        <v>26</v>
      </c>
      <c r="G16" s="8">
        <v>20461</v>
      </c>
      <c r="H16" s="75">
        <f t="shared" si="0"/>
        <v>0</v>
      </c>
      <c r="I16" s="41">
        <f t="shared" si="2"/>
        <v>38700</v>
      </c>
      <c r="J16" s="11">
        <v>0.77083333333333337</v>
      </c>
      <c r="K16" s="10">
        <v>20493</v>
      </c>
      <c r="L16" s="30">
        <f t="shared" si="5"/>
        <v>5</v>
      </c>
      <c r="M16" s="43">
        <f t="shared" si="3"/>
        <v>38366</v>
      </c>
      <c r="N16" s="13" t="s">
        <v>290</v>
      </c>
      <c r="O16" s="12">
        <v>20548</v>
      </c>
      <c r="P16" s="23">
        <f t="shared" si="4"/>
        <v>3</v>
      </c>
      <c r="R16" s="123" t="s">
        <v>372</v>
      </c>
    </row>
    <row r="17" spans="1:18" ht="13.5" thickTop="1" x14ac:dyDescent="0.2">
      <c r="A17" s="1" t="s">
        <v>386</v>
      </c>
      <c r="B17" s="2">
        <f>(B16-('2021'!O3))*B68</f>
        <v>150.133893</v>
      </c>
      <c r="C17" s="118"/>
      <c r="D17" s="118"/>
      <c r="E17" s="38">
        <f t="shared" si="1"/>
        <v>39401</v>
      </c>
      <c r="F17" s="9">
        <v>0.77083333333333337</v>
      </c>
      <c r="G17" s="8">
        <v>20461</v>
      </c>
      <c r="H17" s="75">
        <f t="shared" si="0"/>
        <v>0</v>
      </c>
      <c r="I17" s="41">
        <f t="shared" si="2"/>
        <v>38701</v>
      </c>
      <c r="J17" s="11">
        <v>0.77083333333333337</v>
      </c>
      <c r="K17" s="10">
        <v>20495</v>
      </c>
      <c r="L17" s="30">
        <f t="shared" si="5"/>
        <v>2</v>
      </c>
      <c r="M17" s="43">
        <f t="shared" si="3"/>
        <v>38367</v>
      </c>
      <c r="N17" s="13" t="s">
        <v>25</v>
      </c>
      <c r="O17" s="12">
        <v>20548</v>
      </c>
      <c r="P17" s="23">
        <f t="shared" si="4"/>
        <v>0</v>
      </c>
      <c r="R17" s="124">
        <f>R4+R6+R8+R10+R12+R14</f>
        <v>147</v>
      </c>
    </row>
    <row r="18" spans="1:18" x14ac:dyDescent="0.2">
      <c r="A18" s="1" t="s">
        <v>405</v>
      </c>
      <c r="B18" s="2">
        <f>IF(OR(O3&gt;B16,O3=""),0,B16-K33)</f>
        <v>0</v>
      </c>
      <c r="C18" s="3"/>
      <c r="D18" s="3"/>
      <c r="E18" s="38">
        <f t="shared" si="1"/>
        <v>39402</v>
      </c>
      <c r="F18" s="9">
        <v>0.77083333333333337</v>
      </c>
      <c r="G18" s="8">
        <v>20461</v>
      </c>
      <c r="H18" s="75">
        <f t="shared" si="0"/>
        <v>0</v>
      </c>
      <c r="I18" s="41">
        <f t="shared" si="2"/>
        <v>38702</v>
      </c>
      <c r="J18" s="11">
        <v>0.77083333333333337</v>
      </c>
      <c r="K18" s="10">
        <v>20498</v>
      </c>
      <c r="L18" s="30">
        <f t="shared" si="5"/>
        <v>3</v>
      </c>
      <c r="M18" s="43">
        <f t="shared" si="3"/>
        <v>38368</v>
      </c>
      <c r="N18" s="13" t="s">
        <v>26</v>
      </c>
      <c r="O18" s="12">
        <v>20548</v>
      </c>
      <c r="P18" s="23">
        <f t="shared" si="4"/>
        <v>0</v>
      </c>
      <c r="R18" s="72"/>
    </row>
    <row r="19" spans="1:18" x14ac:dyDescent="0.2">
      <c r="E19" s="38">
        <f t="shared" si="1"/>
        <v>39403</v>
      </c>
      <c r="F19" s="9">
        <v>0.77083333333333337</v>
      </c>
      <c r="G19" s="8">
        <v>20461</v>
      </c>
      <c r="H19" s="75">
        <f t="shared" si="0"/>
        <v>0</v>
      </c>
      <c r="I19" s="41">
        <f t="shared" si="2"/>
        <v>38703</v>
      </c>
      <c r="J19" s="11">
        <v>0.77083333333333337</v>
      </c>
      <c r="K19" s="10">
        <v>20501</v>
      </c>
      <c r="L19" s="30">
        <f t="shared" si="5"/>
        <v>3</v>
      </c>
      <c r="M19" s="43">
        <f t="shared" si="3"/>
        <v>38369</v>
      </c>
      <c r="N19" s="13" t="s">
        <v>290</v>
      </c>
      <c r="O19" s="12">
        <v>20548</v>
      </c>
      <c r="P19" s="23">
        <f t="shared" si="4"/>
        <v>0</v>
      </c>
      <c r="R19" s="72"/>
    </row>
    <row r="20" spans="1:18" x14ac:dyDescent="0.2">
      <c r="A20" s="1" t="s">
        <v>406</v>
      </c>
      <c r="B20" s="2">
        <f>IF(AND(B13&gt;480,B17&lt;480),480-B17,0)</f>
        <v>0</v>
      </c>
      <c r="C20" s="3"/>
      <c r="D20" s="3"/>
      <c r="E20" s="38">
        <f t="shared" si="1"/>
        <v>39404</v>
      </c>
      <c r="F20" s="9">
        <v>0.77083333333333337</v>
      </c>
      <c r="G20" s="8">
        <v>20461</v>
      </c>
      <c r="H20" s="75">
        <f t="shared" si="0"/>
        <v>0</v>
      </c>
      <c r="I20" s="41">
        <f t="shared" si="2"/>
        <v>38704</v>
      </c>
      <c r="J20" s="11" t="s">
        <v>25</v>
      </c>
      <c r="K20" s="10">
        <v>20501</v>
      </c>
      <c r="L20" s="30">
        <f t="shared" si="5"/>
        <v>0</v>
      </c>
      <c r="M20" s="43">
        <f t="shared" si="3"/>
        <v>38370</v>
      </c>
      <c r="N20" s="13" t="s">
        <v>290</v>
      </c>
      <c r="O20" s="12">
        <v>20553</v>
      </c>
      <c r="P20" s="23">
        <f t="shared" si="4"/>
        <v>5</v>
      </c>
      <c r="R20" s="72"/>
    </row>
    <row r="21" spans="1:18" x14ac:dyDescent="0.2">
      <c r="A21" s="1" t="s">
        <v>407</v>
      </c>
      <c r="B21" s="2">
        <f>IF(AND(B14&gt;0,B18=0),(K33-B16-B20)*B68,120)</f>
        <v>18.383742000000002</v>
      </c>
      <c r="C21" s="3"/>
      <c r="D21" s="3"/>
      <c r="E21" s="38">
        <f t="shared" si="1"/>
        <v>39405</v>
      </c>
      <c r="F21" s="9">
        <v>0.77083333333333337</v>
      </c>
      <c r="G21" s="8">
        <v>20461</v>
      </c>
      <c r="H21" s="75">
        <f t="shared" si="0"/>
        <v>0</v>
      </c>
      <c r="I21" s="41">
        <f t="shared" si="2"/>
        <v>38705</v>
      </c>
      <c r="J21" s="11" t="s">
        <v>26</v>
      </c>
      <c r="K21" s="10">
        <v>20501</v>
      </c>
      <c r="L21" s="30">
        <f t="shared" si="5"/>
        <v>0</v>
      </c>
      <c r="M21" s="43">
        <f t="shared" si="3"/>
        <v>38371</v>
      </c>
      <c r="N21" s="13" t="s">
        <v>290</v>
      </c>
      <c r="O21" s="12">
        <v>20555</v>
      </c>
      <c r="P21" s="23">
        <f t="shared" si="4"/>
        <v>2</v>
      </c>
      <c r="R21" s="72"/>
    </row>
    <row r="22" spans="1:18" x14ac:dyDescent="0.2">
      <c r="A22" s="1" t="s">
        <v>408</v>
      </c>
      <c r="B22" s="104"/>
      <c r="C22" s="104"/>
      <c r="E22" s="38">
        <f t="shared" si="1"/>
        <v>39406</v>
      </c>
      <c r="F22" s="9" t="s">
        <v>25</v>
      </c>
      <c r="G22" s="8">
        <v>20461</v>
      </c>
      <c r="H22" s="75">
        <f t="shared" si="0"/>
        <v>0</v>
      </c>
      <c r="I22" s="41">
        <f t="shared" si="2"/>
        <v>38706</v>
      </c>
      <c r="J22" s="11">
        <v>0.77083333333333337</v>
      </c>
      <c r="K22" s="10">
        <v>20501</v>
      </c>
      <c r="L22" s="30">
        <f t="shared" si="5"/>
        <v>0</v>
      </c>
      <c r="M22" s="43">
        <f t="shared" si="3"/>
        <v>38372</v>
      </c>
      <c r="N22" s="13" t="s">
        <v>290</v>
      </c>
      <c r="O22" s="12">
        <v>20558</v>
      </c>
      <c r="P22" s="23">
        <f t="shared" si="4"/>
        <v>3</v>
      </c>
      <c r="R22" s="72"/>
    </row>
    <row r="23" spans="1:18" x14ac:dyDescent="0.2">
      <c r="A23" s="1" t="s">
        <v>354</v>
      </c>
      <c r="B23" s="104">
        <f>IF(B14=0,0,B14-120)</f>
        <v>-36.251841999999996</v>
      </c>
      <c r="E23" s="38">
        <f t="shared" si="1"/>
        <v>39407</v>
      </c>
      <c r="F23" s="9" t="s">
        <v>26</v>
      </c>
      <c r="G23" s="8">
        <v>20461</v>
      </c>
      <c r="H23" s="75">
        <f t="shared" si="0"/>
        <v>0</v>
      </c>
      <c r="I23" s="41">
        <f t="shared" si="2"/>
        <v>38707</v>
      </c>
      <c r="J23" s="11">
        <v>0.77083333333333337</v>
      </c>
      <c r="K23" s="10">
        <v>20509</v>
      </c>
      <c r="L23" s="30">
        <f t="shared" si="5"/>
        <v>8</v>
      </c>
      <c r="M23" s="43">
        <f t="shared" si="3"/>
        <v>38373</v>
      </c>
      <c r="N23" s="13" t="s">
        <v>290</v>
      </c>
      <c r="O23" s="12">
        <v>20560</v>
      </c>
      <c r="P23" s="23">
        <f t="shared" si="4"/>
        <v>2</v>
      </c>
      <c r="R23" s="72"/>
    </row>
    <row r="24" spans="1:18" x14ac:dyDescent="0.2">
      <c r="A24" s="1" t="s">
        <v>390</v>
      </c>
      <c r="B24" s="104"/>
      <c r="E24" s="38">
        <f t="shared" si="1"/>
        <v>39408</v>
      </c>
      <c r="F24" s="9">
        <v>0.77083333333333337</v>
      </c>
      <c r="G24" s="8">
        <v>20461</v>
      </c>
      <c r="H24" s="75">
        <f t="shared" si="0"/>
        <v>0</v>
      </c>
      <c r="I24" s="41">
        <f t="shared" si="2"/>
        <v>38708</v>
      </c>
      <c r="J24" s="11">
        <v>0.77083333333333337</v>
      </c>
      <c r="K24" s="10">
        <v>20512</v>
      </c>
      <c r="L24" s="30">
        <f t="shared" si="5"/>
        <v>3</v>
      </c>
      <c r="M24" s="43">
        <f t="shared" si="3"/>
        <v>38374</v>
      </c>
      <c r="N24" s="13" t="s">
        <v>25</v>
      </c>
      <c r="O24" s="12">
        <v>20560</v>
      </c>
      <c r="P24" s="23">
        <f t="shared" si="4"/>
        <v>0</v>
      </c>
      <c r="R24" s="72"/>
    </row>
    <row r="25" spans="1:18" x14ac:dyDescent="0.2">
      <c r="E25" s="38">
        <f t="shared" si="1"/>
        <v>39409</v>
      </c>
      <c r="F25" s="9">
        <v>0.77083333333333337</v>
      </c>
      <c r="G25" s="8">
        <v>20461</v>
      </c>
      <c r="H25" s="75">
        <f t="shared" si="0"/>
        <v>0</v>
      </c>
      <c r="I25" s="41">
        <f t="shared" si="2"/>
        <v>38709</v>
      </c>
      <c r="J25" s="11">
        <v>0.77083333333333337</v>
      </c>
      <c r="K25" s="10">
        <v>20514</v>
      </c>
      <c r="L25" s="30">
        <f t="shared" si="5"/>
        <v>2</v>
      </c>
      <c r="M25" s="43">
        <f t="shared" si="3"/>
        <v>38375</v>
      </c>
      <c r="N25" s="13" t="s">
        <v>26</v>
      </c>
      <c r="O25" s="12">
        <v>20560</v>
      </c>
      <c r="P25" s="23">
        <f t="shared" si="4"/>
        <v>0</v>
      </c>
      <c r="R25" s="72"/>
    </row>
    <row r="26" spans="1:18" x14ac:dyDescent="0.2">
      <c r="A26" s="1" t="s">
        <v>409</v>
      </c>
      <c r="B26" s="66" t="s">
        <v>8</v>
      </c>
      <c r="C26" s="67" t="s">
        <v>5</v>
      </c>
      <c r="D26" s="67" t="s">
        <v>6</v>
      </c>
      <c r="E26" s="38">
        <f t="shared" si="1"/>
        <v>39410</v>
      </c>
      <c r="F26" s="9">
        <v>0.77083333333333337</v>
      </c>
      <c r="G26" s="8">
        <v>20461</v>
      </c>
      <c r="H26" s="75">
        <f t="shared" si="0"/>
        <v>0</v>
      </c>
      <c r="I26" s="41">
        <f t="shared" si="2"/>
        <v>38710</v>
      </c>
      <c r="J26" s="11">
        <v>0.77083333333333337</v>
      </c>
      <c r="K26" s="10">
        <v>20517</v>
      </c>
      <c r="L26" s="30">
        <f t="shared" si="5"/>
        <v>3</v>
      </c>
      <c r="M26" s="43">
        <f t="shared" si="3"/>
        <v>38376</v>
      </c>
      <c r="N26" s="13" t="s">
        <v>290</v>
      </c>
      <c r="O26" s="12">
        <v>20560</v>
      </c>
      <c r="P26" s="23">
        <f t="shared" si="4"/>
        <v>0</v>
      </c>
      <c r="R26" s="72"/>
    </row>
    <row r="27" spans="1:18" x14ac:dyDescent="0.2">
      <c r="A27" s="5"/>
      <c r="B27" s="2"/>
      <c r="C27" s="3"/>
      <c r="D27" s="3"/>
      <c r="E27" s="38">
        <f t="shared" si="1"/>
        <v>39411</v>
      </c>
      <c r="F27" s="9">
        <v>0.77083333333333337</v>
      </c>
      <c r="G27" s="8">
        <v>20461</v>
      </c>
      <c r="H27" s="75">
        <f t="shared" si="0"/>
        <v>0</v>
      </c>
      <c r="I27" s="46">
        <f t="shared" si="2"/>
        <v>38711</v>
      </c>
      <c r="J27" s="11" t="s">
        <v>31</v>
      </c>
      <c r="K27" s="10">
        <v>20517</v>
      </c>
      <c r="L27" s="30">
        <f t="shared" si="5"/>
        <v>0</v>
      </c>
      <c r="M27" s="43">
        <f t="shared" si="3"/>
        <v>38377</v>
      </c>
      <c r="N27" s="13" t="s">
        <v>290</v>
      </c>
      <c r="O27" s="12">
        <v>20565</v>
      </c>
      <c r="P27" s="23">
        <f t="shared" si="4"/>
        <v>5</v>
      </c>
      <c r="R27" s="72"/>
    </row>
    <row r="28" spans="1:18" x14ac:dyDescent="0.2">
      <c r="A28" s="1" t="s">
        <v>0</v>
      </c>
      <c r="B28" s="2">
        <f ca="1">SUM(TODAY()-D16)</f>
        <v>580</v>
      </c>
      <c r="C28" s="3"/>
      <c r="D28" s="3"/>
      <c r="E28" s="38">
        <f t="shared" si="1"/>
        <v>39412</v>
      </c>
      <c r="F28" s="9">
        <v>0.77083333333333337</v>
      </c>
      <c r="G28" s="8">
        <v>20463</v>
      </c>
      <c r="H28" s="75">
        <f t="shared" si="0"/>
        <v>2</v>
      </c>
      <c r="I28" s="41">
        <f t="shared" si="2"/>
        <v>38712</v>
      </c>
      <c r="J28" s="11" t="s">
        <v>392</v>
      </c>
      <c r="K28" s="10">
        <v>20517</v>
      </c>
      <c r="L28" s="30">
        <f t="shared" si="5"/>
        <v>0</v>
      </c>
      <c r="M28" s="43">
        <f t="shared" si="3"/>
        <v>38378</v>
      </c>
      <c r="N28" s="13" t="s">
        <v>290</v>
      </c>
      <c r="O28" s="12">
        <v>20568</v>
      </c>
      <c r="P28" s="23">
        <f t="shared" si="4"/>
        <v>3</v>
      </c>
      <c r="R28" s="72"/>
    </row>
    <row r="29" spans="1:18" x14ac:dyDescent="0.2">
      <c r="A29" s="1" t="s">
        <v>85</v>
      </c>
      <c r="B29" s="2">
        <f>(MAX(G3:G32, K3:K33,O3:O33, G37:G70, K37:K72, O37:O71)-B16)*B68</f>
        <v>102.1319</v>
      </c>
      <c r="C29" s="3"/>
      <c r="D29" s="3"/>
      <c r="E29" s="38">
        <f t="shared" si="1"/>
        <v>39413</v>
      </c>
      <c r="F29" s="9" t="s">
        <v>25</v>
      </c>
      <c r="G29" s="8">
        <v>20463</v>
      </c>
      <c r="H29" s="75">
        <f t="shared" si="0"/>
        <v>0</v>
      </c>
      <c r="I29" s="41">
        <f>I28+1</f>
        <v>38713</v>
      </c>
      <c r="J29" s="11">
        <v>0.77083333333333337</v>
      </c>
      <c r="K29" s="10">
        <v>20517</v>
      </c>
      <c r="L29" s="30">
        <f t="shared" si="5"/>
        <v>0</v>
      </c>
      <c r="M29" s="43">
        <f>M28+1</f>
        <v>38379</v>
      </c>
      <c r="N29" s="13" t="s">
        <v>290</v>
      </c>
      <c r="O29" s="12">
        <v>20570</v>
      </c>
      <c r="P29" s="23">
        <f t="shared" si="4"/>
        <v>2</v>
      </c>
      <c r="R29" s="72"/>
    </row>
    <row r="30" spans="1:18" x14ac:dyDescent="0.2">
      <c r="A30" s="1" t="s">
        <v>295</v>
      </c>
      <c r="B30" s="2">
        <f>IF((B14&gt;120),0,B29)</f>
        <v>102.1319</v>
      </c>
      <c r="C30" s="3">
        <f>B54</f>
        <v>0.27385999999999999</v>
      </c>
      <c r="D30" s="3">
        <f>(B30*C30)</f>
        <v>27.969842134</v>
      </c>
      <c r="E30" s="38">
        <f t="shared" si="1"/>
        <v>39414</v>
      </c>
      <c r="F30" s="9" t="s">
        <v>26</v>
      </c>
      <c r="G30" s="8">
        <v>20463</v>
      </c>
      <c r="H30" s="75">
        <f t="shared" si="0"/>
        <v>0</v>
      </c>
      <c r="I30" s="41">
        <f>I29+1</f>
        <v>38714</v>
      </c>
      <c r="J30" s="11">
        <v>0.77083333333333337</v>
      </c>
      <c r="K30" s="10">
        <v>20520</v>
      </c>
      <c r="L30" s="30">
        <f t="shared" si="5"/>
        <v>3</v>
      </c>
      <c r="M30" s="43">
        <f>M29+1</f>
        <v>38380</v>
      </c>
      <c r="N30" s="13" t="s">
        <v>290</v>
      </c>
      <c r="O30" s="12">
        <v>20573</v>
      </c>
      <c r="P30" s="23">
        <f t="shared" si="4"/>
        <v>3</v>
      </c>
      <c r="R30" s="72"/>
    </row>
    <row r="31" spans="1:18" x14ac:dyDescent="0.2">
      <c r="A31" s="1" t="s">
        <v>296</v>
      </c>
      <c r="B31" s="121">
        <f>IF(AND(B14&gt;120,B13&lt;480),(B29),0)</f>
        <v>0</v>
      </c>
      <c r="C31" s="3">
        <f>B55</f>
        <v>0.27385999999999999</v>
      </c>
      <c r="D31" s="3">
        <f>(B31*C31)</f>
        <v>0</v>
      </c>
      <c r="E31" s="38">
        <f t="shared" si="1"/>
        <v>39415</v>
      </c>
      <c r="F31" s="9">
        <v>0.77083333333333337</v>
      </c>
      <c r="G31" s="8">
        <v>20465</v>
      </c>
      <c r="H31" s="75">
        <f t="shared" si="0"/>
        <v>2</v>
      </c>
      <c r="I31" s="41">
        <f>I30+1</f>
        <v>38715</v>
      </c>
      <c r="J31" s="11">
        <v>0.77083333333333337</v>
      </c>
      <c r="K31" s="10">
        <v>20522</v>
      </c>
      <c r="L31" s="30">
        <f t="shared" si="5"/>
        <v>2</v>
      </c>
      <c r="M31" s="43">
        <f>M30+1</f>
        <v>38381</v>
      </c>
      <c r="N31" s="13" t="s">
        <v>25</v>
      </c>
      <c r="O31" s="12">
        <v>20573</v>
      </c>
      <c r="P31" s="23">
        <f t="shared" si="4"/>
        <v>0</v>
      </c>
      <c r="R31" s="72"/>
    </row>
    <row r="32" spans="1:18" x14ac:dyDescent="0.2">
      <c r="A32" s="1" t="s">
        <v>297</v>
      </c>
      <c r="B32" s="2">
        <f>IF(K33&lt;O3,0,0)</f>
        <v>0</v>
      </c>
      <c r="C32" s="3">
        <f>B56</f>
        <v>0.27385999999999999</v>
      </c>
      <c r="D32" s="3">
        <f>(B32*C32)</f>
        <v>0</v>
      </c>
      <c r="E32" s="38">
        <f t="shared" si="1"/>
        <v>39416</v>
      </c>
      <c r="F32" s="9">
        <v>0.77083333333333337</v>
      </c>
      <c r="G32" s="8">
        <v>20467</v>
      </c>
      <c r="H32" s="75">
        <f t="shared" si="0"/>
        <v>2</v>
      </c>
      <c r="I32" s="41">
        <f>I31+1</f>
        <v>38716</v>
      </c>
      <c r="J32" s="11">
        <v>0.77083333333333337</v>
      </c>
      <c r="K32" s="10">
        <v>20525</v>
      </c>
      <c r="L32" s="30">
        <f t="shared" si="5"/>
        <v>3</v>
      </c>
      <c r="M32" s="43">
        <f>M31+1</f>
        <v>38382</v>
      </c>
      <c r="N32" s="13" t="s">
        <v>26</v>
      </c>
      <c r="O32" s="12">
        <v>20573</v>
      </c>
      <c r="P32" s="23">
        <f t="shared" si="4"/>
        <v>0</v>
      </c>
      <c r="R32" s="72"/>
    </row>
    <row r="33" spans="1:18" x14ac:dyDescent="0.2">
      <c r="A33" s="1" t="s">
        <v>311</v>
      </c>
      <c r="B33" s="2">
        <f>B30</f>
        <v>102.1319</v>
      </c>
      <c r="C33" s="68">
        <v>7.9459999999999999E-3</v>
      </c>
      <c r="D33" s="3">
        <f>(B33*C33)</f>
        <v>0.8115400774</v>
      </c>
      <c r="E33" s="38"/>
      <c r="F33" s="8"/>
      <c r="G33" s="8"/>
      <c r="H33" s="75" t="str">
        <f t="shared" si="0"/>
        <v/>
      </c>
      <c r="I33" s="41">
        <f>I32+1</f>
        <v>38717</v>
      </c>
      <c r="J33" s="11">
        <v>0.77083333333333337</v>
      </c>
      <c r="K33" s="10">
        <v>20526</v>
      </c>
      <c r="L33" s="30">
        <f t="shared" si="5"/>
        <v>1</v>
      </c>
      <c r="M33" s="43">
        <f>M32+1</f>
        <v>38383</v>
      </c>
      <c r="N33" s="13" t="s">
        <v>290</v>
      </c>
      <c r="O33" s="12">
        <v>20573</v>
      </c>
      <c r="P33" s="23">
        <f t="shared" si="4"/>
        <v>0</v>
      </c>
      <c r="R33" s="72"/>
    </row>
    <row r="34" spans="1:18" ht="13.5" thickBot="1" x14ac:dyDescent="0.25">
      <c r="A34" s="1" t="s">
        <v>312</v>
      </c>
      <c r="B34" s="2">
        <f>B31</f>
        <v>0</v>
      </c>
      <c r="C34" s="68">
        <v>7.9459999999999999E-3</v>
      </c>
      <c r="D34" s="3">
        <f t="shared" ref="D34:D48" si="6">B34*C34</f>
        <v>0</v>
      </c>
      <c r="E34" s="38"/>
      <c r="F34" s="8"/>
      <c r="G34" s="8"/>
      <c r="H34" s="75" t="str">
        <f>IF(AND(H32&lt;&gt;"",G33&lt;&gt;""),G33-G32,"")</f>
        <v/>
      </c>
      <c r="I34" s="41"/>
      <c r="J34" s="51"/>
      <c r="K34" s="57"/>
      <c r="L34" s="30" t="str">
        <f t="shared" si="5"/>
        <v/>
      </c>
      <c r="M34" s="43"/>
      <c r="N34" s="12"/>
      <c r="O34" s="12"/>
      <c r="P34" s="23" t="str">
        <f t="shared" si="4"/>
        <v/>
      </c>
      <c r="R34" s="72"/>
    </row>
    <row r="35" spans="1:18" ht="13.5" thickTop="1" x14ac:dyDescent="0.2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7" t="s">
        <v>13</v>
      </c>
      <c r="F35" s="19" t="s">
        <v>10</v>
      </c>
      <c r="G35" s="19" t="s">
        <v>9</v>
      </c>
      <c r="H35" s="74" t="s">
        <v>11</v>
      </c>
      <c r="I35" s="45" t="s">
        <v>14</v>
      </c>
      <c r="J35" s="35" t="s">
        <v>10</v>
      </c>
      <c r="K35" s="20" t="s">
        <v>9</v>
      </c>
      <c r="L35" s="50" t="s">
        <v>11</v>
      </c>
      <c r="M35" s="48" t="s">
        <v>21</v>
      </c>
      <c r="N35" s="21" t="s">
        <v>10</v>
      </c>
      <c r="O35" s="21" t="s">
        <v>9</v>
      </c>
      <c r="P35" s="22" t="s">
        <v>11</v>
      </c>
      <c r="R35" s="72"/>
    </row>
    <row r="36" spans="1:18" x14ac:dyDescent="0.2">
      <c r="A36" s="1" t="s">
        <v>301</v>
      </c>
      <c r="B36" s="2">
        <f t="shared" ref="B36:B41" si="7">B30</f>
        <v>102.1319</v>
      </c>
      <c r="C36" s="3">
        <v>5.9560000000000002E-2</v>
      </c>
      <c r="D36" s="3">
        <f t="shared" si="6"/>
        <v>6.0829759640000001</v>
      </c>
      <c r="E36" s="38"/>
      <c r="F36" s="8"/>
      <c r="G36" s="8"/>
      <c r="H36" s="75"/>
      <c r="I36" s="46"/>
      <c r="J36" s="11"/>
      <c r="K36" s="10"/>
      <c r="L36" s="30"/>
      <c r="M36" s="49"/>
      <c r="N36" s="12"/>
      <c r="O36" s="12"/>
      <c r="P36" s="23"/>
      <c r="R36" s="72"/>
    </row>
    <row r="37" spans="1:18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>
        <v>38384</v>
      </c>
      <c r="F37" s="9">
        <v>0.77083333333333337</v>
      </c>
      <c r="G37" s="8">
        <v>20577</v>
      </c>
      <c r="H37" s="75">
        <f>G37-O33</f>
        <v>4</v>
      </c>
      <c r="I37" s="46">
        <v>38412</v>
      </c>
      <c r="J37" s="11">
        <v>0.77083333333333337</v>
      </c>
      <c r="K37" s="10">
        <v>20598</v>
      </c>
      <c r="L37" s="30">
        <f>IF(AND(H68&lt;&gt;"",K37&lt;&gt;""),K37-K36,K37-MAX(G37:G68))</f>
        <v>0</v>
      </c>
      <c r="M37" s="43">
        <v>38443</v>
      </c>
      <c r="N37" s="13" t="s">
        <v>290</v>
      </c>
      <c r="O37" s="12"/>
      <c r="P37" s="23">
        <f>IF(AND(L68&lt;&gt;"",O37&lt;&gt;""),O37-O36,O37-MAX(K37:K68))</f>
        <v>-20608</v>
      </c>
      <c r="R37" s="72"/>
    </row>
    <row r="38" spans="1:18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f>E37+1</f>
        <v>38385</v>
      </c>
      <c r="F38" s="9">
        <v>0.77083333333333337</v>
      </c>
      <c r="G38" s="8">
        <v>20577</v>
      </c>
      <c r="H38" s="75">
        <f t="shared" ref="H38:H61" si="8">IF(AND(H37&lt;&gt;"",G38&lt;&gt;""),G38-G37,"")</f>
        <v>0</v>
      </c>
      <c r="I38" s="41">
        <f>I37+1</f>
        <v>38413</v>
      </c>
      <c r="J38" s="11">
        <v>0.77083333333333337</v>
      </c>
      <c r="K38" s="10">
        <v>20599</v>
      </c>
      <c r="L38" s="30">
        <f t="shared" ref="L38:L68" si="9">IF(AND(L37&lt;&gt;"",K38&lt;&gt;""),K38-K37,"")</f>
        <v>1</v>
      </c>
      <c r="M38" s="43">
        <f>M37+1</f>
        <v>38444</v>
      </c>
      <c r="N38" s="13" t="s">
        <v>290</v>
      </c>
      <c r="O38" s="12"/>
      <c r="P38" s="23" t="str">
        <f t="shared" ref="P38:P66" si="10">IF(AND(P37&lt;&gt;"",O38&lt;&gt;""),O38-O37,"")</f>
        <v/>
      </c>
      <c r="R38" s="72"/>
    </row>
    <row r="39" spans="1:18" x14ac:dyDescent="0.2">
      <c r="A39" s="1" t="s">
        <v>292</v>
      </c>
      <c r="B39" s="2">
        <f t="shared" si="7"/>
        <v>102.1319</v>
      </c>
      <c r="C39" s="3">
        <v>3.0720999999999998E-2</v>
      </c>
      <c r="D39" s="3">
        <f t="shared" si="6"/>
        <v>3.1375940998999998</v>
      </c>
      <c r="E39" s="38">
        <f t="shared" ref="E39:E64" si="11">E38+1</f>
        <v>38386</v>
      </c>
      <c r="F39" s="9">
        <v>0.77083333333333337</v>
      </c>
      <c r="G39" s="8">
        <v>20577</v>
      </c>
      <c r="H39" s="75">
        <f t="shared" si="8"/>
        <v>0</v>
      </c>
      <c r="I39" s="41">
        <f t="shared" ref="I39:I61" si="12">I38+1</f>
        <v>38414</v>
      </c>
      <c r="J39" s="11">
        <v>0.77083333333333337</v>
      </c>
      <c r="K39" s="10">
        <v>20600</v>
      </c>
      <c r="L39" s="30">
        <f t="shared" si="9"/>
        <v>1</v>
      </c>
      <c r="M39" s="43">
        <f t="shared" ref="M39:M66" si="13">M38+1</f>
        <v>38445</v>
      </c>
      <c r="N39" s="13" t="s">
        <v>290</v>
      </c>
      <c r="O39" s="12"/>
      <c r="P39" s="23" t="str">
        <f t="shared" si="10"/>
        <v/>
      </c>
      <c r="R39" s="72"/>
    </row>
    <row r="40" spans="1:18" x14ac:dyDescent="0.2">
      <c r="A40" s="1" t="s">
        <v>293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si="11"/>
        <v>38387</v>
      </c>
      <c r="F40" s="9">
        <v>0.77083333333333337</v>
      </c>
      <c r="G40" s="8">
        <v>20578</v>
      </c>
      <c r="H40" s="75">
        <f t="shared" si="8"/>
        <v>1</v>
      </c>
      <c r="I40" s="41">
        <f t="shared" si="12"/>
        <v>38415</v>
      </c>
      <c r="J40" s="11">
        <v>0.77083333333333337</v>
      </c>
      <c r="K40" s="10">
        <v>20601</v>
      </c>
      <c r="L40" s="30">
        <f t="shared" si="9"/>
        <v>1</v>
      </c>
      <c r="M40" s="43">
        <f t="shared" si="13"/>
        <v>38446</v>
      </c>
      <c r="N40" s="13" t="s">
        <v>290</v>
      </c>
      <c r="O40" s="12"/>
      <c r="P40" s="23" t="str">
        <f t="shared" si="10"/>
        <v/>
      </c>
      <c r="R40" s="72"/>
    </row>
    <row r="41" spans="1:18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38388</v>
      </c>
      <c r="F41" s="9" t="s">
        <v>25</v>
      </c>
      <c r="G41" s="8">
        <v>20578</v>
      </c>
      <c r="H41" s="75">
        <f t="shared" si="8"/>
        <v>0</v>
      </c>
      <c r="I41" s="41">
        <f t="shared" si="12"/>
        <v>38416</v>
      </c>
      <c r="J41" s="11" t="s">
        <v>25</v>
      </c>
      <c r="K41" s="10">
        <v>20601</v>
      </c>
      <c r="L41" s="30">
        <f t="shared" si="9"/>
        <v>0</v>
      </c>
      <c r="M41" s="43">
        <f t="shared" si="13"/>
        <v>38447</v>
      </c>
      <c r="N41" s="13" t="s">
        <v>290</v>
      </c>
      <c r="O41" s="12"/>
      <c r="P41" s="23" t="str">
        <f t="shared" si="10"/>
        <v/>
      </c>
      <c r="R41" s="72"/>
    </row>
    <row r="42" spans="1:18" x14ac:dyDescent="0.2">
      <c r="A42" s="1" t="s">
        <v>323</v>
      </c>
      <c r="B42" s="2">
        <f ca="1">B28</f>
        <v>580</v>
      </c>
      <c r="C42" s="70">
        <f>(B62+B63+B64)/365</f>
        <v>0.2233698630136986</v>
      </c>
      <c r="D42" s="3">
        <f t="shared" ca="1" si="6"/>
        <v>129.55452054794517</v>
      </c>
      <c r="E42" s="38">
        <f t="shared" si="11"/>
        <v>38389</v>
      </c>
      <c r="F42" s="9" t="s">
        <v>26</v>
      </c>
      <c r="G42" s="8">
        <v>20578</v>
      </c>
      <c r="H42" s="75">
        <f t="shared" si="8"/>
        <v>0</v>
      </c>
      <c r="I42" s="41">
        <f t="shared" si="12"/>
        <v>38417</v>
      </c>
      <c r="J42" s="11" t="s">
        <v>26</v>
      </c>
      <c r="K42" s="10">
        <v>20601</v>
      </c>
      <c r="L42" s="30">
        <f t="shared" si="9"/>
        <v>0</v>
      </c>
      <c r="M42" s="43">
        <f t="shared" si="13"/>
        <v>38448</v>
      </c>
      <c r="N42" s="13" t="s">
        <v>290</v>
      </c>
      <c r="O42" s="12"/>
      <c r="P42" s="23" t="str">
        <f t="shared" si="10"/>
        <v/>
      </c>
      <c r="R42" s="72"/>
    </row>
    <row r="43" spans="1:18" x14ac:dyDescent="0.2">
      <c r="A43" s="1" t="s">
        <v>22</v>
      </c>
      <c r="B43" s="2">
        <f>B30</f>
        <v>102.1319</v>
      </c>
      <c r="C43" s="3">
        <v>2.6554000000000001E-2</v>
      </c>
      <c r="D43" s="3">
        <f t="shared" si="6"/>
        <v>2.7120104726000003</v>
      </c>
      <c r="E43" s="38">
        <f t="shared" si="11"/>
        <v>38390</v>
      </c>
      <c r="F43" s="9">
        <v>0.77083333333333337</v>
      </c>
      <c r="G43" s="8">
        <v>20578</v>
      </c>
      <c r="H43" s="75">
        <f t="shared" si="8"/>
        <v>0</v>
      </c>
      <c r="I43" s="41">
        <f t="shared" si="12"/>
        <v>38418</v>
      </c>
      <c r="J43" s="11">
        <v>0.77083333333333337</v>
      </c>
      <c r="K43" s="10">
        <v>20601</v>
      </c>
      <c r="L43" s="30">
        <f t="shared" si="9"/>
        <v>0</v>
      </c>
      <c r="M43" s="43">
        <f t="shared" si="13"/>
        <v>38449</v>
      </c>
      <c r="N43" s="13" t="s">
        <v>290</v>
      </c>
      <c r="O43" s="12"/>
      <c r="P43" s="23" t="str">
        <f t="shared" si="10"/>
        <v/>
      </c>
      <c r="R43" s="72"/>
    </row>
    <row r="44" spans="1:18" x14ac:dyDescent="0.2">
      <c r="A44" s="1" t="s">
        <v>15</v>
      </c>
      <c r="B44" s="2">
        <f>B31</f>
        <v>0</v>
      </c>
      <c r="C44" s="3">
        <v>0.125357</v>
      </c>
      <c r="D44" s="3">
        <f t="shared" si="6"/>
        <v>0</v>
      </c>
      <c r="E44" s="38">
        <f t="shared" si="11"/>
        <v>38391</v>
      </c>
      <c r="F44" s="9">
        <v>0.77083333333333337</v>
      </c>
      <c r="G44" s="8">
        <v>20582</v>
      </c>
      <c r="H44" s="75">
        <f t="shared" si="8"/>
        <v>4</v>
      </c>
      <c r="I44" s="41">
        <f t="shared" si="12"/>
        <v>38419</v>
      </c>
      <c r="J44" s="11">
        <v>0.77083333333333337</v>
      </c>
      <c r="K44" s="10">
        <v>20603</v>
      </c>
      <c r="L44" s="30">
        <f t="shared" si="9"/>
        <v>2</v>
      </c>
      <c r="M44" s="43">
        <f t="shared" si="13"/>
        <v>38450</v>
      </c>
      <c r="N44" s="13" t="s">
        <v>290</v>
      </c>
      <c r="O44" s="12"/>
      <c r="P44" s="23" t="str">
        <f t="shared" si="10"/>
        <v/>
      </c>
      <c r="R44" s="72"/>
    </row>
    <row r="45" spans="1:18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38392</v>
      </c>
      <c r="F45" s="9">
        <v>0.77083333333333337</v>
      </c>
      <c r="G45" s="8">
        <v>20584</v>
      </c>
      <c r="H45" s="75">
        <f t="shared" si="8"/>
        <v>2</v>
      </c>
      <c r="I45" s="41">
        <f t="shared" si="12"/>
        <v>38420</v>
      </c>
      <c r="J45" s="11">
        <v>0.77083333333333337</v>
      </c>
      <c r="K45" s="10">
        <v>20605</v>
      </c>
      <c r="L45" s="30">
        <f t="shared" si="9"/>
        <v>2</v>
      </c>
      <c r="M45" s="43">
        <f t="shared" si="13"/>
        <v>38451</v>
      </c>
      <c r="N45" s="13" t="s">
        <v>290</v>
      </c>
      <c r="O45" s="12"/>
      <c r="P45" s="23" t="str">
        <f t="shared" si="10"/>
        <v/>
      </c>
      <c r="R45" s="72"/>
    </row>
    <row r="46" spans="1:18" x14ac:dyDescent="0.2">
      <c r="A46" s="1" t="s">
        <v>314</v>
      </c>
      <c r="B46" s="104">
        <f>B30</f>
        <v>102.1319</v>
      </c>
      <c r="C46" s="120">
        <f>B58</f>
        <v>4.3999999999999997E-2</v>
      </c>
      <c r="D46" s="3">
        <f t="shared" si="6"/>
        <v>4.4938035999999997</v>
      </c>
      <c r="E46" s="38">
        <f t="shared" si="11"/>
        <v>38393</v>
      </c>
      <c r="F46" s="9">
        <v>0.77083333333333337</v>
      </c>
      <c r="G46" s="8">
        <v>20586</v>
      </c>
      <c r="H46" s="75">
        <f t="shared" si="8"/>
        <v>2</v>
      </c>
      <c r="I46" s="41">
        <f t="shared" si="12"/>
        <v>38421</v>
      </c>
      <c r="J46" s="11">
        <v>0.77083333333333337</v>
      </c>
      <c r="K46" s="10">
        <v>20606</v>
      </c>
      <c r="L46" s="30">
        <f t="shared" si="9"/>
        <v>1</v>
      </c>
      <c r="M46" s="43">
        <f t="shared" si="13"/>
        <v>38452</v>
      </c>
      <c r="N46" s="13" t="s">
        <v>290</v>
      </c>
      <c r="O46" s="12"/>
      <c r="P46" s="23" t="str">
        <f t="shared" si="10"/>
        <v/>
      </c>
      <c r="R46" s="72"/>
    </row>
    <row r="47" spans="1:18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6"/>
        <v>0</v>
      </c>
      <c r="E47" s="38">
        <f t="shared" si="11"/>
        <v>38394</v>
      </c>
      <c r="F47" s="9">
        <v>0.77083333333333337</v>
      </c>
      <c r="G47" s="8">
        <v>20587</v>
      </c>
      <c r="H47" s="75">
        <f t="shared" si="8"/>
        <v>1</v>
      </c>
      <c r="I47" s="41">
        <f t="shared" si="12"/>
        <v>38422</v>
      </c>
      <c r="J47" s="11">
        <v>0.77083333333333337</v>
      </c>
      <c r="K47" s="10">
        <v>20608</v>
      </c>
      <c r="L47" s="30">
        <f t="shared" si="9"/>
        <v>2</v>
      </c>
      <c r="M47" s="43">
        <f t="shared" si="13"/>
        <v>38453</v>
      </c>
      <c r="N47" s="13" t="s">
        <v>290</v>
      </c>
      <c r="O47" s="12"/>
      <c r="P47" s="23" t="str">
        <f t="shared" si="10"/>
        <v/>
      </c>
      <c r="R47" s="72"/>
    </row>
    <row r="48" spans="1:18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38395</v>
      </c>
      <c r="F48" s="9" t="s">
        <v>25</v>
      </c>
      <c r="G48" s="8">
        <v>20587</v>
      </c>
      <c r="H48" s="75">
        <f t="shared" si="8"/>
        <v>0</v>
      </c>
      <c r="I48" s="41">
        <f t="shared" si="12"/>
        <v>38423</v>
      </c>
      <c r="J48" s="11" t="s">
        <v>25</v>
      </c>
      <c r="K48" s="10">
        <v>20608</v>
      </c>
      <c r="L48" s="30">
        <f t="shared" si="9"/>
        <v>0</v>
      </c>
      <c r="M48" s="43">
        <f t="shared" si="13"/>
        <v>38454</v>
      </c>
      <c r="N48" s="13" t="s">
        <v>290</v>
      </c>
      <c r="O48" s="12"/>
      <c r="P48" s="23" t="str">
        <f t="shared" si="10"/>
        <v/>
      </c>
      <c r="R48" s="72"/>
    </row>
    <row r="49" spans="1:18" x14ac:dyDescent="0.2">
      <c r="E49" s="38">
        <f t="shared" si="11"/>
        <v>38396</v>
      </c>
      <c r="F49" s="9" t="s">
        <v>26</v>
      </c>
      <c r="G49" s="8">
        <v>20587</v>
      </c>
      <c r="H49" s="75">
        <f t="shared" si="8"/>
        <v>0</v>
      </c>
      <c r="I49" s="41">
        <f t="shared" si="12"/>
        <v>38424</v>
      </c>
      <c r="J49" s="11" t="s">
        <v>26</v>
      </c>
      <c r="K49" s="10">
        <v>20608</v>
      </c>
      <c r="L49" s="30">
        <f t="shared" si="9"/>
        <v>0</v>
      </c>
      <c r="M49" s="43">
        <f t="shared" si="13"/>
        <v>38455</v>
      </c>
      <c r="N49" s="13" t="s">
        <v>290</v>
      </c>
      <c r="O49" s="12"/>
      <c r="P49" s="23" t="str">
        <f t="shared" si="10"/>
        <v/>
      </c>
      <c r="R49" s="72"/>
    </row>
    <row r="50" spans="1:18" x14ac:dyDescent="0.2">
      <c r="E50" s="38">
        <f t="shared" si="11"/>
        <v>38397</v>
      </c>
      <c r="F50" s="9">
        <v>0.77083333333333337</v>
      </c>
      <c r="G50" s="8">
        <v>20587</v>
      </c>
      <c r="H50" s="75">
        <f t="shared" si="8"/>
        <v>0</v>
      </c>
      <c r="I50" s="41">
        <f t="shared" si="12"/>
        <v>38425</v>
      </c>
      <c r="J50" s="11">
        <v>0.77083333333333337</v>
      </c>
      <c r="K50" s="10">
        <v>20608</v>
      </c>
      <c r="L50" s="30">
        <f t="shared" si="9"/>
        <v>0</v>
      </c>
      <c r="M50" s="43">
        <f t="shared" si="13"/>
        <v>38456</v>
      </c>
      <c r="N50" s="13" t="s">
        <v>290</v>
      </c>
      <c r="O50" s="12"/>
      <c r="P50" s="23" t="str">
        <f t="shared" si="10"/>
        <v/>
      </c>
      <c r="R50" s="72"/>
    </row>
    <row r="51" spans="1:18" x14ac:dyDescent="0.2">
      <c r="A51" s="1" t="s">
        <v>96</v>
      </c>
      <c r="B51" s="2"/>
      <c r="C51" s="3"/>
      <c r="D51" s="55">
        <f>(SUM(D30:D31)+SUM(D33:D34)+SUM(D36:D37)+SUM(D39:D40)+SUM(D43+D44+D46+D47))*1.1</f>
        <v>49.728542982690001</v>
      </c>
      <c r="E51" s="38">
        <f t="shared" si="11"/>
        <v>38398</v>
      </c>
      <c r="F51" s="9">
        <v>0.77083333333333337</v>
      </c>
      <c r="G51" s="8">
        <v>20591</v>
      </c>
      <c r="H51" s="75">
        <f t="shared" si="8"/>
        <v>4</v>
      </c>
      <c r="I51" s="41">
        <f t="shared" si="12"/>
        <v>38426</v>
      </c>
      <c r="J51" s="11">
        <v>0.77083333333333337</v>
      </c>
      <c r="K51" s="10"/>
      <c r="L51" s="30" t="str">
        <f t="shared" si="9"/>
        <v/>
      </c>
      <c r="M51" s="43">
        <f t="shared" si="13"/>
        <v>38457</v>
      </c>
      <c r="N51" s="13" t="s">
        <v>290</v>
      </c>
      <c r="O51" s="12"/>
      <c r="P51" s="23" t="str">
        <f t="shared" si="10"/>
        <v/>
      </c>
      <c r="R51" s="72"/>
    </row>
    <row r="52" spans="1:18" x14ac:dyDescent="0.2">
      <c r="A52" s="1" t="s">
        <v>264</v>
      </c>
      <c r="D52" s="55">
        <f ca="1">(SUM(D32+D35+D38+D41+D42+D45+D48))*1.22</f>
        <v>158.0565150684931</v>
      </c>
      <c r="E52" s="38">
        <f t="shared" si="11"/>
        <v>38399</v>
      </c>
      <c r="F52" s="9">
        <v>0.77083333333333337</v>
      </c>
      <c r="G52" s="8">
        <v>20593</v>
      </c>
      <c r="H52" s="75">
        <f t="shared" si="8"/>
        <v>2</v>
      </c>
      <c r="I52" s="41">
        <f t="shared" si="12"/>
        <v>38427</v>
      </c>
      <c r="J52" s="11">
        <v>0.77083333333333337</v>
      </c>
      <c r="K52" s="10"/>
      <c r="L52" s="30" t="str">
        <f t="shared" si="9"/>
        <v/>
      </c>
      <c r="M52" s="43">
        <f t="shared" si="13"/>
        <v>38458</v>
      </c>
      <c r="N52" s="13" t="s">
        <v>290</v>
      </c>
      <c r="O52" s="12"/>
      <c r="P52" s="23" t="str">
        <f t="shared" si="10"/>
        <v/>
      </c>
      <c r="R52" s="72"/>
    </row>
    <row r="53" spans="1:18" x14ac:dyDescent="0.2">
      <c r="A53" s="1"/>
      <c r="B53" s="2"/>
      <c r="C53" s="3"/>
      <c r="D53" s="3"/>
      <c r="E53" s="38">
        <f t="shared" si="11"/>
        <v>38400</v>
      </c>
      <c r="F53" s="9">
        <v>0.77083333333333337</v>
      </c>
      <c r="G53" s="8">
        <v>20595</v>
      </c>
      <c r="H53" s="75">
        <f t="shared" si="8"/>
        <v>2</v>
      </c>
      <c r="I53" s="41">
        <f t="shared" si="12"/>
        <v>38428</v>
      </c>
      <c r="J53" s="11">
        <v>0.77083333333333337</v>
      </c>
      <c r="K53" s="10"/>
      <c r="L53" s="30" t="str">
        <f t="shared" si="9"/>
        <v/>
      </c>
      <c r="M53" s="43">
        <f t="shared" si="13"/>
        <v>38459</v>
      </c>
      <c r="N53" s="13" t="s">
        <v>290</v>
      </c>
      <c r="O53" s="12"/>
      <c r="P53" s="23" t="str">
        <f t="shared" si="10"/>
        <v/>
      </c>
      <c r="R53" s="72"/>
    </row>
    <row r="54" spans="1:18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38401</v>
      </c>
      <c r="F54" s="9">
        <v>0.77083333333333337</v>
      </c>
      <c r="G54" s="8">
        <v>20597</v>
      </c>
      <c r="H54" s="75">
        <f t="shared" si="8"/>
        <v>2</v>
      </c>
      <c r="I54" s="41">
        <f t="shared" si="12"/>
        <v>38429</v>
      </c>
      <c r="J54" s="11">
        <v>0.77083333333333337</v>
      </c>
      <c r="K54" s="10"/>
      <c r="L54" s="30" t="str">
        <f t="shared" si="9"/>
        <v/>
      </c>
      <c r="M54" s="43">
        <f t="shared" si="13"/>
        <v>38460</v>
      </c>
      <c r="N54" s="13" t="s">
        <v>290</v>
      </c>
      <c r="O54" s="12"/>
      <c r="P54" s="23" t="str">
        <f t="shared" si="10"/>
        <v/>
      </c>
      <c r="R54" s="72"/>
    </row>
    <row r="55" spans="1:18" x14ac:dyDescent="0.2">
      <c r="A55" s="1" t="s">
        <v>299</v>
      </c>
      <c r="B55" s="26">
        <v>0.27385999999999999</v>
      </c>
      <c r="C55" s="65"/>
      <c r="D55" s="3"/>
      <c r="E55" s="38">
        <f t="shared" si="11"/>
        <v>38402</v>
      </c>
      <c r="F55" s="9" t="s">
        <v>25</v>
      </c>
      <c r="G55" s="8">
        <v>20597</v>
      </c>
      <c r="H55" s="75">
        <f t="shared" si="8"/>
        <v>0</v>
      </c>
      <c r="I55" s="41">
        <f t="shared" si="12"/>
        <v>38430</v>
      </c>
      <c r="J55" s="11" t="s">
        <v>25</v>
      </c>
      <c r="K55" s="10"/>
      <c r="L55" s="30" t="str">
        <f t="shared" si="9"/>
        <v/>
      </c>
      <c r="M55" s="43">
        <f t="shared" si="13"/>
        <v>38461</v>
      </c>
      <c r="N55" s="13" t="s">
        <v>290</v>
      </c>
      <c r="O55" s="12"/>
      <c r="P55" s="23" t="str">
        <f t="shared" si="10"/>
        <v/>
      </c>
      <c r="R55" s="72"/>
    </row>
    <row r="56" spans="1:18" x14ac:dyDescent="0.2">
      <c r="A56" s="1" t="s">
        <v>300</v>
      </c>
      <c r="B56" s="26">
        <v>0.27385999999999999</v>
      </c>
      <c r="C56" s="65"/>
      <c r="D56" s="3"/>
      <c r="E56" s="38">
        <f t="shared" si="11"/>
        <v>38403</v>
      </c>
      <c r="F56" s="9" t="s">
        <v>26</v>
      </c>
      <c r="G56" s="8">
        <v>20597</v>
      </c>
      <c r="H56" s="75">
        <f t="shared" si="8"/>
        <v>0</v>
      </c>
      <c r="I56" s="41">
        <f t="shared" si="12"/>
        <v>38431</v>
      </c>
      <c r="J56" s="11" t="s">
        <v>26</v>
      </c>
      <c r="K56" s="10"/>
      <c r="L56" s="30" t="str">
        <f t="shared" si="9"/>
        <v/>
      </c>
      <c r="M56" s="43">
        <f t="shared" si="13"/>
        <v>38462</v>
      </c>
      <c r="N56" s="13" t="s">
        <v>290</v>
      </c>
      <c r="O56" s="12"/>
      <c r="P56" s="23" t="str">
        <f t="shared" si="10"/>
        <v/>
      </c>
      <c r="R56" s="72"/>
    </row>
    <row r="57" spans="1:18" x14ac:dyDescent="0.2">
      <c r="A57" s="1"/>
      <c r="B57" s="2"/>
      <c r="C57" s="3"/>
      <c r="D57" s="3"/>
      <c r="E57" s="38">
        <f t="shared" si="11"/>
        <v>38404</v>
      </c>
      <c r="F57" s="9">
        <v>0.77083333333333337</v>
      </c>
      <c r="G57" s="8">
        <v>20597</v>
      </c>
      <c r="H57" s="75">
        <f t="shared" si="8"/>
        <v>0</v>
      </c>
      <c r="I57" s="41">
        <f t="shared" si="12"/>
        <v>38432</v>
      </c>
      <c r="J57" s="11">
        <v>0.77083333333333337</v>
      </c>
      <c r="K57" s="10"/>
      <c r="L57" s="30" t="str">
        <f t="shared" si="9"/>
        <v/>
      </c>
      <c r="M57" s="43">
        <f t="shared" si="13"/>
        <v>38463</v>
      </c>
      <c r="N57" s="13" t="s">
        <v>290</v>
      </c>
      <c r="O57" s="12"/>
      <c r="P57" s="23" t="str">
        <f t="shared" si="10"/>
        <v/>
      </c>
      <c r="R57" s="72"/>
    </row>
    <row r="58" spans="1:18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38405</v>
      </c>
      <c r="F58" s="9">
        <v>0.77083333333333337</v>
      </c>
      <c r="G58" s="8">
        <v>20597</v>
      </c>
      <c r="H58" s="75">
        <f t="shared" si="8"/>
        <v>0</v>
      </c>
      <c r="I58" s="41">
        <f t="shared" si="12"/>
        <v>38433</v>
      </c>
      <c r="J58" s="11">
        <v>0.77083333333333337</v>
      </c>
      <c r="K58" s="10"/>
      <c r="L58" s="30" t="str">
        <f t="shared" si="9"/>
        <v/>
      </c>
      <c r="M58" s="43">
        <f t="shared" si="13"/>
        <v>38464</v>
      </c>
      <c r="N58" s="13" t="s">
        <v>290</v>
      </c>
      <c r="O58" s="12"/>
      <c r="P58" s="23" t="str">
        <f t="shared" si="10"/>
        <v/>
      </c>
      <c r="R58" s="72"/>
    </row>
    <row r="59" spans="1:18" x14ac:dyDescent="0.2">
      <c r="A59" s="1" t="s">
        <v>304</v>
      </c>
      <c r="B59" s="26">
        <v>0.17499999999999999</v>
      </c>
      <c r="C59" s="3"/>
      <c r="D59" s="3"/>
      <c r="E59" s="38">
        <f t="shared" si="11"/>
        <v>38406</v>
      </c>
      <c r="F59" s="9">
        <v>0.77083333333333337</v>
      </c>
      <c r="G59" s="8">
        <v>20597</v>
      </c>
      <c r="H59" s="75">
        <f t="shared" si="8"/>
        <v>0</v>
      </c>
      <c r="I59" s="41">
        <f t="shared" si="12"/>
        <v>38434</v>
      </c>
      <c r="J59" s="11">
        <v>0.77083333333333337</v>
      </c>
      <c r="K59" s="10"/>
      <c r="L59" s="30" t="str">
        <f t="shared" si="9"/>
        <v/>
      </c>
      <c r="M59" s="43">
        <f t="shared" si="13"/>
        <v>38465</v>
      </c>
      <c r="N59" s="13" t="s">
        <v>290</v>
      </c>
      <c r="O59" s="12"/>
      <c r="P59" s="23" t="str">
        <f t="shared" si="10"/>
        <v/>
      </c>
      <c r="R59" s="72"/>
    </row>
    <row r="60" spans="1:18" x14ac:dyDescent="0.2">
      <c r="A60" s="1" t="s">
        <v>305</v>
      </c>
      <c r="B60" s="26">
        <v>0.17</v>
      </c>
      <c r="C60" s="3"/>
      <c r="D60" s="3"/>
      <c r="E60" s="38">
        <f t="shared" si="11"/>
        <v>38407</v>
      </c>
      <c r="F60" s="9">
        <v>0.77083333333333337</v>
      </c>
      <c r="G60" s="8">
        <v>20598</v>
      </c>
      <c r="H60" s="75">
        <f t="shared" si="8"/>
        <v>1</v>
      </c>
      <c r="I60" s="41">
        <f t="shared" si="12"/>
        <v>38435</v>
      </c>
      <c r="J60" s="11">
        <v>0.77083333333333337</v>
      </c>
      <c r="K60" s="10"/>
      <c r="L60" s="30" t="str">
        <f t="shared" si="9"/>
        <v/>
      </c>
      <c r="M60" s="43">
        <f t="shared" si="13"/>
        <v>38466</v>
      </c>
      <c r="N60" s="13" t="s">
        <v>290</v>
      </c>
      <c r="O60" s="12"/>
      <c r="P60" s="23" t="str">
        <f t="shared" si="10"/>
        <v/>
      </c>
      <c r="R60" s="72"/>
    </row>
    <row r="61" spans="1:18" x14ac:dyDescent="0.2">
      <c r="A61" s="1"/>
      <c r="B61" s="2"/>
      <c r="C61" s="3"/>
      <c r="D61" s="3"/>
      <c r="E61" s="38">
        <f t="shared" si="11"/>
        <v>38408</v>
      </c>
      <c r="F61" s="9">
        <v>0.77083333333333337</v>
      </c>
      <c r="G61" s="8">
        <v>20598</v>
      </c>
      <c r="H61" s="75">
        <f t="shared" si="8"/>
        <v>0</v>
      </c>
      <c r="I61" s="41">
        <f t="shared" si="12"/>
        <v>38436</v>
      </c>
      <c r="J61" s="11">
        <v>0.77083333333333337</v>
      </c>
      <c r="K61" s="10"/>
      <c r="L61" s="30" t="str">
        <f t="shared" si="9"/>
        <v/>
      </c>
      <c r="M61" s="43">
        <f t="shared" si="13"/>
        <v>38467</v>
      </c>
      <c r="N61" s="13" t="s">
        <v>290</v>
      </c>
      <c r="O61" s="12"/>
      <c r="P61" s="23" t="str">
        <f t="shared" si="10"/>
        <v/>
      </c>
      <c r="R61" s="72"/>
    </row>
    <row r="62" spans="1:18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38409</v>
      </c>
      <c r="F62" s="9" t="s">
        <v>25</v>
      </c>
      <c r="G62" s="8">
        <v>20598</v>
      </c>
      <c r="H62" s="75">
        <f>IF(AND(H61&lt;&gt;"",G62&lt;&gt;""),G62-G61,"")</f>
        <v>0</v>
      </c>
      <c r="I62" s="41">
        <v>38802</v>
      </c>
      <c r="J62" s="11" t="s">
        <v>25</v>
      </c>
      <c r="K62" s="10"/>
      <c r="L62" s="30" t="str">
        <f t="shared" si="9"/>
        <v/>
      </c>
      <c r="M62" s="43">
        <f t="shared" si="13"/>
        <v>38468</v>
      </c>
      <c r="N62" s="13" t="s">
        <v>290</v>
      </c>
      <c r="O62" s="12"/>
      <c r="P62" s="23" t="str">
        <f t="shared" si="10"/>
        <v/>
      </c>
      <c r="R62" s="72"/>
    </row>
    <row r="63" spans="1:18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38410</v>
      </c>
      <c r="F63" s="9" t="s">
        <v>26</v>
      </c>
      <c r="G63" s="8">
        <v>20598</v>
      </c>
      <c r="H63" s="75">
        <f>IF(AND(H62&lt;&gt;"",G63&lt;&gt;""),G63-G62,"")</f>
        <v>0</v>
      </c>
      <c r="I63" s="41">
        <v>38803</v>
      </c>
      <c r="J63" s="11" t="s">
        <v>26</v>
      </c>
      <c r="K63" s="10"/>
      <c r="L63" s="30" t="str">
        <f t="shared" si="9"/>
        <v/>
      </c>
      <c r="M63" s="43">
        <f t="shared" si="13"/>
        <v>38469</v>
      </c>
      <c r="N63" s="13" t="s">
        <v>290</v>
      </c>
      <c r="O63" s="12"/>
      <c r="P63" s="23" t="str">
        <f t="shared" si="10"/>
        <v/>
      </c>
      <c r="R63" s="72"/>
    </row>
    <row r="64" spans="1:18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38411</v>
      </c>
      <c r="F64" s="9">
        <v>0.77083333333333337</v>
      </c>
      <c r="G64" s="8">
        <v>20598</v>
      </c>
      <c r="H64" s="75">
        <f>IF(AND(H63&lt;&gt;"",G64&lt;&gt;""),G64-G63,"")</f>
        <v>0</v>
      </c>
      <c r="I64" s="41">
        <v>38804</v>
      </c>
      <c r="J64" s="11">
        <v>0.77083333333333337</v>
      </c>
      <c r="K64" s="10"/>
      <c r="L64" s="30" t="str">
        <f t="shared" si="9"/>
        <v/>
      </c>
      <c r="M64" s="43">
        <f t="shared" si="13"/>
        <v>38470</v>
      </c>
      <c r="N64" s="13" t="s">
        <v>290</v>
      </c>
      <c r="O64" s="12"/>
      <c r="P64" s="23" t="str">
        <f t="shared" si="10"/>
        <v/>
      </c>
      <c r="R64" s="72"/>
    </row>
    <row r="65" spans="1:18" x14ac:dyDescent="0.2">
      <c r="A65" s="1" t="s">
        <v>91</v>
      </c>
      <c r="B65" s="26">
        <v>0</v>
      </c>
      <c r="C65" s="3" t="s">
        <v>86</v>
      </c>
      <c r="D65" s="3"/>
      <c r="E65" s="38"/>
      <c r="F65" s="9"/>
      <c r="G65" s="8"/>
      <c r="H65" s="75" t="str">
        <f>IF(AND(H64&lt;&gt;"",G65&lt;&gt;""),G65-G64,"")</f>
        <v/>
      </c>
      <c r="I65" s="41">
        <v>38805</v>
      </c>
      <c r="J65" s="11">
        <v>0.77083333333333337</v>
      </c>
      <c r="K65" s="10"/>
      <c r="L65" s="30" t="str">
        <f t="shared" si="9"/>
        <v/>
      </c>
      <c r="M65" s="43">
        <f t="shared" si="13"/>
        <v>38471</v>
      </c>
      <c r="N65" s="13" t="s">
        <v>290</v>
      </c>
      <c r="O65" s="12"/>
      <c r="P65" s="23" t="str">
        <f t="shared" si="10"/>
        <v/>
      </c>
      <c r="R65" s="72"/>
    </row>
    <row r="66" spans="1:18" x14ac:dyDescent="0.2">
      <c r="A66" s="1"/>
      <c r="B66" s="2"/>
      <c r="C66" s="3"/>
      <c r="D66" s="3"/>
      <c r="E66" s="38"/>
      <c r="F66" s="8"/>
      <c r="G66" s="8"/>
      <c r="H66" s="75" t="str">
        <f>IF(AND(H60&lt;&gt;"",G66&lt;&gt;""),G66-G60,"")</f>
        <v/>
      </c>
      <c r="I66" s="41">
        <v>38806</v>
      </c>
      <c r="J66" s="11">
        <v>0.77083333333333337</v>
      </c>
      <c r="K66" s="10"/>
      <c r="L66" s="30" t="str">
        <f t="shared" si="9"/>
        <v/>
      </c>
      <c r="M66" s="43">
        <f t="shared" si="13"/>
        <v>38472</v>
      </c>
      <c r="N66" s="13" t="s">
        <v>290</v>
      </c>
      <c r="O66" s="12"/>
      <c r="P66" s="23" t="str">
        <f t="shared" si="10"/>
        <v/>
      </c>
      <c r="R66" s="72"/>
    </row>
    <row r="67" spans="1:18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38807</v>
      </c>
      <c r="J67" s="11">
        <v>0.77083333333333337</v>
      </c>
      <c r="K67" s="10"/>
      <c r="L67" s="30" t="str">
        <f t="shared" si="9"/>
        <v/>
      </c>
      <c r="M67" s="43"/>
      <c r="N67" s="12"/>
      <c r="O67" s="12"/>
      <c r="P67" s="23" t="str">
        <f>IF(AND(P61&lt;&gt;"",O67&lt;&gt;""),O67-O61,"")</f>
        <v/>
      </c>
      <c r="R67" s="72"/>
    </row>
    <row r="68" spans="1:18" ht="13.5" thickBot="1" x14ac:dyDescent="0.25">
      <c r="A68" s="1" t="s">
        <v>194</v>
      </c>
      <c r="B68" s="102">
        <v>1.0213190000000001</v>
      </c>
      <c r="E68" s="39"/>
      <c r="F68" s="25"/>
      <c r="G68" s="16"/>
      <c r="H68" s="77" t="str">
        <f>IF(AND(H67&lt;&gt;"",G68&lt;&gt;""),G68-G67,"")</f>
        <v/>
      </c>
      <c r="I68" s="42"/>
      <c r="J68" s="28"/>
      <c r="K68" s="17"/>
      <c r="L68" s="31" t="str">
        <f t="shared" si="9"/>
        <v/>
      </c>
      <c r="M68" s="44"/>
      <c r="N68" s="18"/>
      <c r="O68" s="18"/>
      <c r="P68" s="24" t="str">
        <f>IF(AND(P67&lt;&gt;"",O68&lt;&gt;""),O68-O67,"")</f>
        <v/>
      </c>
      <c r="R68" s="72"/>
    </row>
    <row r="69" spans="1:18" ht="13.5" thickTop="1" x14ac:dyDescent="0.2">
      <c r="R69" s="72"/>
    </row>
    <row r="70" spans="1:18" x14ac:dyDescent="0.2">
      <c r="A70" s="72" t="s">
        <v>24</v>
      </c>
      <c r="B70" s="55">
        <f ca="1">B1</f>
        <v>207.78505805118311</v>
      </c>
    </row>
  </sheetData>
  <mergeCells count="6">
    <mergeCell ref="C4:D4"/>
    <mergeCell ref="C5:D5"/>
    <mergeCell ref="C6:D6"/>
    <mergeCell ref="C7:D7"/>
    <mergeCell ref="C9:D9"/>
    <mergeCell ref="C8:D8"/>
  </mergeCells>
  <conditionalFormatting sqref="P3">
    <cfRule type="cellIs" dxfId="115" priority="12" stopIfTrue="1" operator="lessThan">
      <formula>0</formula>
    </cfRule>
    <cfRule type="cellIs" dxfId="114" priority="13" stopIfTrue="1" operator="lessThan">
      <formula>0</formula>
    </cfRule>
  </conditionalFormatting>
  <conditionalFormatting sqref="L37">
    <cfRule type="cellIs" dxfId="113" priority="11" stopIfTrue="1" operator="lessThan">
      <formula>0</formula>
    </cfRule>
  </conditionalFormatting>
  <conditionalFormatting sqref="H37">
    <cfRule type="cellIs" dxfId="112" priority="10" stopIfTrue="1" operator="lessThan">
      <formula>0</formula>
    </cfRule>
  </conditionalFormatting>
  <conditionalFormatting sqref="P37">
    <cfRule type="cellIs" dxfId="111" priority="9" stopIfTrue="1" operator="lessThan">
      <formula>0</formula>
    </cfRule>
  </conditionalFormatting>
  <conditionalFormatting sqref="B28">
    <cfRule type="cellIs" dxfId="110" priority="8" stopIfTrue="1" operator="greaterThan">
      <formula>366</formula>
    </cfRule>
  </conditionalFormatting>
  <conditionalFormatting sqref="B43:B45 B30:B41">
    <cfRule type="cellIs" dxfId="109" priority="6" stopIfTrue="1" operator="greaterThan">
      <formula>366</formula>
    </cfRule>
    <cfRule type="cellIs" dxfId="108" priority="7" stopIfTrue="1" operator="greaterThan">
      <formula>40472</formula>
    </cfRule>
  </conditionalFormatting>
  <conditionalFormatting sqref="B1">
    <cfRule type="containsText" dxfId="107" priority="5" stopIfTrue="1" operator="containsText" text="#VALORE!">
      <formula>NOT(ISERROR(SEARCH("#VALORE!",B1)))</formula>
    </cfRule>
  </conditionalFormatting>
  <conditionalFormatting sqref="R8">
    <cfRule type="cellIs" dxfId="106" priority="4" operator="lessThan">
      <formula>0</formula>
    </cfRule>
  </conditionalFormatting>
  <conditionalFormatting sqref="R10">
    <cfRule type="cellIs" dxfId="105" priority="3" operator="lessThan">
      <formula>0</formula>
    </cfRule>
  </conditionalFormatting>
  <conditionalFormatting sqref="R12">
    <cfRule type="cellIs" dxfId="104" priority="2" operator="lessThan">
      <formula>0</formula>
    </cfRule>
  </conditionalFormatting>
  <conditionalFormatting sqref="R14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workbookViewId="0">
      <selection activeCell="H53" sqref="H53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8" ht="13.5" thickTop="1" x14ac:dyDescent="0.2">
      <c r="A1" s="1" t="s">
        <v>24</v>
      </c>
      <c r="B1" s="55">
        <f ca="1">IF(D51="",D52,D51+D52)</f>
        <v>266.26148678418554</v>
      </c>
      <c r="C1" s="3"/>
      <c r="D1" s="3"/>
      <c r="E1" s="37" t="s">
        <v>19</v>
      </c>
      <c r="F1" s="19" t="s">
        <v>10</v>
      </c>
      <c r="G1" s="19" t="s">
        <v>9</v>
      </c>
      <c r="H1" s="74" t="s">
        <v>11</v>
      </c>
      <c r="I1" s="45" t="s">
        <v>20</v>
      </c>
      <c r="J1" s="35" t="s">
        <v>10</v>
      </c>
      <c r="K1" s="20" t="s">
        <v>9</v>
      </c>
      <c r="L1" s="50" t="s">
        <v>11</v>
      </c>
      <c r="M1" s="48" t="s">
        <v>12</v>
      </c>
      <c r="N1" s="21" t="s">
        <v>10</v>
      </c>
      <c r="O1" s="21" t="s">
        <v>9</v>
      </c>
      <c r="P1" s="22" t="s">
        <v>11</v>
      </c>
      <c r="R1" s="122" t="s">
        <v>371</v>
      </c>
    </row>
    <row r="2" spans="1:18" x14ac:dyDescent="0.2">
      <c r="A2" s="1" t="s">
        <v>376</v>
      </c>
      <c r="B2" s="26"/>
      <c r="C2" s="3"/>
      <c r="D2" s="3"/>
      <c r="E2" s="38"/>
      <c r="F2" s="8"/>
      <c r="G2" s="8"/>
      <c r="H2" s="75"/>
      <c r="I2" s="46"/>
      <c r="J2" s="11"/>
      <c r="K2" s="10"/>
      <c r="L2" s="30"/>
      <c r="M2" s="49"/>
      <c r="N2" s="12"/>
      <c r="O2" s="12"/>
      <c r="P2" s="23"/>
      <c r="R2" s="72"/>
    </row>
    <row r="3" spans="1:18" x14ac:dyDescent="0.2">
      <c r="A3" s="1"/>
      <c r="B3" s="2"/>
      <c r="C3" s="3"/>
      <c r="D3" s="3"/>
      <c r="E3" s="38">
        <v>39387</v>
      </c>
      <c r="F3" s="9">
        <v>0.77083333333333337</v>
      </c>
      <c r="G3" s="8">
        <v>20298</v>
      </c>
      <c r="H3" s="76">
        <f>IF(G3-B16&lt;0,0,0)</f>
        <v>0</v>
      </c>
      <c r="I3" s="46">
        <v>38687</v>
      </c>
      <c r="J3" s="11">
        <v>0.77083333333333337</v>
      </c>
      <c r="K3" s="10">
        <v>20314</v>
      </c>
      <c r="L3" s="30">
        <f>IF(AND(H34&lt;&gt;"",K3&lt;&gt;""),K3-K2,K3-MAX(G3:G34))</f>
        <v>5</v>
      </c>
      <c r="M3" s="43">
        <v>38353</v>
      </c>
      <c r="N3" s="13" t="s">
        <v>33</v>
      </c>
      <c r="O3" s="12">
        <v>20361</v>
      </c>
      <c r="P3" s="23">
        <f>IF(AND(L34&lt;&gt;"",O3&lt;&gt;""),O3-O2,O3-MAX(K3:K33))</f>
        <v>0</v>
      </c>
      <c r="R3" s="123" t="s">
        <v>19</v>
      </c>
    </row>
    <row r="4" spans="1:18" x14ac:dyDescent="0.2">
      <c r="A4" s="1"/>
      <c r="B4" s="26"/>
      <c r="C4" s="129"/>
      <c r="D4" s="130"/>
      <c r="E4" s="38">
        <f>E3+1</f>
        <v>39388</v>
      </c>
      <c r="F4" s="9" t="s">
        <v>25</v>
      </c>
      <c r="G4" s="8">
        <v>20298</v>
      </c>
      <c r="H4" s="75">
        <f t="shared" ref="H4:H34" si="0">IF(AND(H3&lt;&gt;"",G4&lt;&gt;""),G4-G3,"")</f>
        <v>0</v>
      </c>
      <c r="I4" s="41">
        <f>I3+1</f>
        <v>38688</v>
      </c>
      <c r="J4" s="11">
        <v>0.77083333333333337</v>
      </c>
      <c r="K4" s="10">
        <v>20316</v>
      </c>
      <c r="L4" s="30">
        <f>IF(AND(L3&lt;&gt;"",K4&lt;&gt;""),K4-K3,"")</f>
        <v>2</v>
      </c>
      <c r="M4" s="43">
        <f>M3+1</f>
        <v>38354</v>
      </c>
      <c r="N4" s="13" t="s">
        <v>25</v>
      </c>
      <c r="O4" s="12">
        <v>20364</v>
      </c>
      <c r="P4" s="23">
        <f>IF(AND(P3&lt;&gt;"",O4&lt;&gt;""),O4-O3,"")</f>
        <v>3</v>
      </c>
      <c r="R4" s="124">
        <f>SUM(H3:H32)</f>
        <v>11</v>
      </c>
    </row>
    <row r="5" spans="1:18" x14ac:dyDescent="0.2">
      <c r="A5" s="1" t="s">
        <v>395</v>
      </c>
      <c r="B5" s="26">
        <v>16.14</v>
      </c>
      <c r="C5" s="131" t="s">
        <v>360</v>
      </c>
      <c r="D5" s="132"/>
      <c r="E5" s="38">
        <f t="shared" ref="E5:E32" si="1">E4+1</f>
        <v>39389</v>
      </c>
      <c r="F5" s="9" t="s">
        <v>26</v>
      </c>
      <c r="G5" s="8">
        <v>20298</v>
      </c>
      <c r="H5" s="75">
        <f t="shared" si="0"/>
        <v>0</v>
      </c>
      <c r="I5" s="41">
        <f t="shared" ref="I5:I28" si="2">I4+1</f>
        <v>38689</v>
      </c>
      <c r="J5" s="11">
        <v>0.77083333333333337</v>
      </c>
      <c r="K5" s="10">
        <v>20318</v>
      </c>
      <c r="L5" s="30">
        <f>IF(AND(L4&lt;&gt;"",K5&lt;&gt;""),K5-K4,"")</f>
        <v>2</v>
      </c>
      <c r="M5" s="43">
        <f t="shared" ref="M5:M28" si="3">M4+1</f>
        <v>38355</v>
      </c>
      <c r="N5" s="13" t="s">
        <v>26</v>
      </c>
      <c r="O5" s="12">
        <v>20364</v>
      </c>
      <c r="P5" s="23">
        <f t="shared" ref="P5:P34" si="4">IF(AND(P4&lt;&gt;"",O5&lt;&gt;""),O5-O4,"")</f>
        <v>0</v>
      </c>
      <c r="R5" s="123" t="s">
        <v>20</v>
      </c>
    </row>
    <row r="6" spans="1:18" x14ac:dyDescent="0.2">
      <c r="A6" s="1" t="s">
        <v>394</v>
      </c>
      <c r="B6" s="26">
        <v>27.18</v>
      </c>
      <c r="C6" s="131" t="s">
        <v>360</v>
      </c>
      <c r="D6" s="132"/>
      <c r="E6" s="38">
        <f t="shared" si="1"/>
        <v>39390</v>
      </c>
      <c r="F6" s="9">
        <v>0.77083333333333337</v>
      </c>
      <c r="G6" s="8">
        <v>20298</v>
      </c>
      <c r="H6" s="75">
        <f t="shared" si="0"/>
        <v>0</v>
      </c>
      <c r="I6" s="41">
        <f t="shared" si="2"/>
        <v>38690</v>
      </c>
      <c r="J6" s="11">
        <v>0.77083333333333337</v>
      </c>
      <c r="K6" s="10">
        <v>20320</v>
      </c>
      <c r="L6" s="30">
        <f>IF(AND(L5&lt;&gt;"",K6&lt;&gt;""),K6-K5,"")</f>
        <v>2</v>
      </c>
      <c r="M6" s="43">
        <f t="shared" si="3"/>
        <v>38356</v>
      </c>
      <c r="N6" s="13" t="s">
        <v>290</v>
      </c>
      <c r="O6" s="12">
        <v>20364</v>
      </c>
      <c r="P6" s="23">
        <f t="shared" si="4"/>
        <v>0</v>
      </c>
      <c r="R6" s="72">
        <f>SUM(L3:L33)</f>
        <v>52</v>
      </c>
    </row>
    <row r="7" spans="1:18" x14ac:dyDescent="0.2">
      <c r="A7" s="1" t="s">
        <v>393</v>
      </c>
      <c r="B7" s="26">
        <v>34.29</v>
      </c>
      <c r="C7" s="133" t="s">
        <v>360</v>
      </c>
      <c r="D7" s="133"/>
      <c r="E7" s="38">
        <f t="shared" si="1"/>
        <v>39391</v>
      </c>
      <c r="F7" s="9">
        <v>0.77083333333333337</v>
      </c>
      <c r="G7" s="8">
        <v>20298</v>
      </c>
      <c r="H7" s="75">
        <f t="shared" si="0"/>
        <v>0</v>
      </c>
      <c r="I7" s="41">
        <f t="shared" si="2"/>
        <v>38691</v>
      </c>
      <c r="J7" s="11" t="s">
        <v>25</v>
      </c>
      <c r="K7" s="10">
        <v>20320</v>
      </c>
      <c r="L7" s="30">
        <f>IF(AND(L6&lt;&gt;"",K7&lt;&gt;""),K7-K6,"")</f>
        <v>0</v>
      </c>
      <c r="M7" s="43">
        <f t="shared" si="3"/>
        <v>38357</v>
      </c>
      <c r="N7" s="13" t="s">
        <v>290</v>
      </c>
      <c r="O7" s="12">
        <v>20367</v>
      </c>
      <c r="P7" s="23">
        <f t="shared" si="4"/>
        <v>3</v>
      </c>
      <c r="R7" s="123" t="s">
        <v>12</v>
      </c>
    </row>
    <row r="8" spans="1:18" x14ac:dyDescent="0.2">
      <c r="A8" s="1" t="s">
        <v>375</v>
      </c>
      <c r="B8" s="26">
        <v>0</v>
      </c>
      <c r="E8" s="38">
        <f t="shared" si="1"/>
        <v>39392</v>
      </c>
      <c r="F8" s="9">
        <v>0.77083333333333337</v>
      </c>
      <c r="G8" s="8">
        <v>20298</v>
      </c>
      <c r="H8" s="75">
        <f t="shared" si="0"/>
        <v>0</v>
      </c>
      <c r="I8" s="41">
        <f t="shared" si="2"/>
        <v>38692</v>
      </c>
      <c r="J8" s="11" t="s">
        <v>26</v>
      </c>
      <c r="K8" s="10">
        <v>20320</v>
      </c>
      <c r="L8" s="30">
        <f>IF(AND(L7&lt;&gt;"",K8&lt;&gt;""),K8-K7,"")</f>
        <v>0</v>
      </c>
      <c r="M8" s="43">
        <f t="shared" si="3"/>
        <v>38358</v>
      </c>
      <c r="N8" s="13" t="s">
        <v>83</v>
      </c>
      <c r="O8" s="12">
        <v>20369</v>
      </c>
      <c r="P8" s="23">
        <f t="shared" si="4"/>
        <v>2</v>
      </c>
      <c r="R8" s="72">
        <f>SUM(P3:P33)</f>
        <v>58</v>
      </c>
    </row>
    <row r="9" spans="1:18" x14ac:dyDescent="0.2">
      <c r="A9" s="1" t="s">
        <v>374</v>
      </c>
      <c r="B9" s="26">
        <v>0</v>
      </c>
      <c r="C9" s="128"/>
      <c r="D9" s="128"/>
      <c r="E9" s="38">
        <f t="shared" si="1"/>
        <v>39393</v>
      </c>
      <c r="F9" s="9">
        <v>0.77083333333333337</v>
      </c>
      <c r="G9" s="8">
        <v>20298</v>
      </c>
      <c r="H9" s="75">
        <f t="shared" si="0"/>
        <v>0</v>
      </c>
      <c r="I9" s="41">
        <f t="shared" si="2"/>
        <v>38693</v>
      </c>
      <c r="J9" s="11">
        <v>0.77083333333333337</v>
      </c>
      <c r="K9" s="10">
        <v>20320</v>
      </c>
      <c r="L9" s="30">
        <f t="shared" ref="L9:L34" si="5">IF(AND(L8&lt;&gt;"",K9&lt;&gt;""),K9-K8,"")</f>
        <v>0</v>
      </c>
      <c r="M9" s="43">
        <f t="shared" si="3"/>
        <v>38359</v>
      </c>
      <c r="N9" s="13" t="s">
        <v>290</v>
      </c>
      <c r="O9" s="12">
        <v>20372</v>
      </c>
      <c r="P9" s="23">
        <f t="shared" si="4"/>
        <v>3</v>
      </c>
      <c r="R9" s="123" t="s">
        <v>13</v>
      </c>
    </row>
    <row r="10" spans="1:18" x14ac:dyDescent="0.2">
      <c r="A10" s="63" t="s">
        <v>396</v>
      </c>
      <c r="B10" s="64">
        <f>SUM(B4:B9)</f>
        <v>77.61</v>
      </c>
      <c r="C10" s="3"/>
      <c r="D10" s="3"/>
      <c r="E10" s="38">
        <f t="shared" si="1"/>
        <v>39394</v>
      </c>
      <c r="F10" s="9">
        <v>0.77083333333333337</v>
      </c>
      <c r="G10" s="8">
        <v>20298</v>
      </c>
      <c r="H10" s="75">
        <f t="shared" si="0"/>
        <v>0</v>
      </c>
      <c r="I10" s="41">
        <f t="shared" si="2"/>
        <v>38694</v>
      </c>
      <c r="J10" s="11" t="s">
        <v>67</v>
      </c>
      <c r="K10" s="10">
        <v>20320</v>
      </c>
      <c r="L10" s="30">
        <f t="shared" si="5"/>
        <v>0</v>
      </c>
      <c r="M10" s="43">
        <f t="shared" si="3"/>
        <v>38360</v>
      </c>
      <c r="N10" s="13" t="s">
        <v>290</v>
      </c>
      <c r="O10" s="12">
        <v>20374</v>
      </c>
      <c r="P10" s="23">
        <f t="shared" si="4"/>
        <v>2</v>
      </c>
      <c r="R10" s="72">
        <f>SUM(H37:H65)</f>
        <v>37</v>
      </c>
    </row>
    <row r="11" spans="1:18" x14ac:dyDescent="0.2">
      <c r="E11" s="38">
        <f t="shared" si="1"/>
        <v>39395</v>
      </c>
      <c r="F11" s="9" t="s">
        <v>25</v>
      </c>
      <c r="G11" s="8">
        <v>20298</v>
      </c>
      <c r="H11" s="75">
        <f t="shared" si="0"/>
        <v>0</v>
      </c>
      <c r="I11" s="41">
        <f t="shared" si="2"/>
        <v>38695</v>
      </c>
      <c r="J11" s="11">
        <v>0.77083333333333337</v>
      </c>
      <c r="K11" s="10">
        <v>20326</v>
      </c>
      <c r="L11" s="30">
        <f t="shared" si="5"/>
        <v>6</v>
      </c>
      <c r="M11" s="43">
        <f t="shared" si="3"/>
        <v>38361</v>
      </c>
      <c r="N11" s="13" t="s">
        <v>25</v>
      </c>
      <c r="O11" s="12">
        <v>20376</v>
      </c>
      <c r="P11" s="23">
        <f t="shared" si="4"/>
        <v>2</v>
      </c>
      <c r="R11" s="123" t="s">
        <v>14</v>
      </c>
    </row>
    <row r="12" spans="1:18" x14ac:dyDescent="0.2">
      <c r="A12" s="1" t="s">
        <v>384</v>
      </c>
      <c r="B12" s="27">
        <f>(MAX(G2:G32,K3:K33,O3:O33,G37:G64,K37:K67,O37:O66)-MIN(G3,G34))</f>
        <v>158</v>
      </c>
      <c r="C12" s="3"/>
      <c r="D12" s="3"/>
      <c r="E12" s="38">
        <f t="shared" si="1"/>
        <v>39396</v>
      </c>
      <c r="F12" s="9" t="s">
        <v>26</v>
      </c>
      <c r="G12" s="8">
        <v>20298</v>
      </c>
      <c r="H12" s="75">
        <f t="shared" si="0"/>
        <v>0</v>
      </c>
      <c r="I12" s="41">
        <f t="shared" si="2"/>
        <v>38696</v>
      </c>
      <c r="J12" s="11">
        <v>0.77083333333333337</v>
      </c>
      <c r="K12" s="10">
        <v>20328</v>
      </c>
      <c r="L12" s="30">
        <f t="shared" si="5"/>
        <v>2</v>
      </c>
      <c r="M12" s="43">
        <f t="shared" si="3"/>
        <v>38362</v>
      </c>
      <c r="N12" s="13" t="s">
        <v>26</v>
      </c>
      <c r="O12" s="12">
        <v>20376</v>
      </c>
      <c r="P12" s="23">
        <f>IF(AND(P11&lt;&gt;"",O12&lt;&gt;""),O12-O11,"")</f>
        <v>0</v>
      </c>
      <c r="R12" s="72">
        <f>IF(H64="",0,SUM(L37:L67))</f>
        <v>0</v>
      </c>
    </row>
    <row r="13" spans="1:18" x14ac:dyDescent="0.2">
      <c r="A13" s="1" t="s">
        <v>380</v>
      </c>
      <c r="B13" s="2">
        <f>(MAX(G3:G32,K3:K33)-'1920'!O4)*B68</f>
        <v>175.66686800000002</v>
      </c>
      <c r="C13" s="118" t="s">
        <v>205</v>
      </c>
      <c r="D13" s="119"/>
      <c r="E13" s="38">
        <f t="shared" si="1"/>
        <v>39397</v>
      </c>
      <c r="F13" s="9">
        <v>0.77083333333333337</v>
      </c>
      <c r="G13" s="8">
        <v>20298</v>
      </c>
      <c r="H13" s="75">
        <f t="shared" si="0"/>
        <v>0</v>
      </c>
      <c r="I13" s="41">
        <f t="shared" si="2"/>
        <v>38697</v>
      </c>
      <c r="J13" s="11">
        <v>0.77083333333333337</v>
      </c>
      <c r="K13" s="10">
        <v>20331</v>
      </c>
      <c r="L13" s="30">
        <f t="shared" si="5"/>
        <v>3</v>
      </c>
      <c r="M13" s="43">
        <f t="shared" si="3"/>
        <v>38363</v>
      </c>
      <c r="N13" s="13" t="s">
        <v>290</v>
      </c>
      <c r="O13" s="12">
        <v>20376</v>
      </c>
      <c r="P13" s="23">
        <f t="shared" si="4"/>
        <v>0</v>
      </c>
      <c r="R13" s="123" t="s">
        <v>21</v>
      </c>
    </row>
    <row r="14" spans="1:18" x14ac:dyDescent="0.2">
      <c r="A14" s="1" t="s">
        <v>385</v>
      </c>
      <c r="B14" s="2">
        <f>IF(O3="",0,((MAX(O3:O33,G37:G67,K37:K67,O37:O67))-O3)*B68)</f>
        <v>97.025305000000003</v>
      </c>
      <c r="C14" s="3"/>
      <c r="D14" s="3"/>
      <c r="E14" s="38">
        <f t="shared" si="1"/>
        <v>39398</v>
      </c>
      <c r="F14" s="9">
        <v>0.77083333333333337</v>
      </c>
      <c r="G14" s="8">
        <v>20298</v>
      </c>
      <c r="H14" s="75">
        <f t="shared" si="0"/>
        <v>0</v>
      </c>
      <c r="I14" s="41">
        <f t="shared" si="2"/>
        <v>38698</v>
      </c>
      <c r="J14" s="11" t="s">
        <v>25</v>
      </c>
      <c r="K14" s="10">
        <v>20331</v>
      </c>
      <c r="L14" s="30">
        <f t="shared" si="5"/>
        <v>0</v>
      </c>
      <c r="M14" s="43">
        <f t="shared" si="3"/>
        <v>38364</v>
      </c>
      <c r="N14" s="13" t="s">
        <v>290</v>
      </c>
      <c r="O14" s="12">
        <v>20378</v>
      </c>
      <c r="P14" s="23">
        <f t="shared" si="4"/>
        <v>2</v>
      </c>
      <c r="R14" s="72">
        <f>IF(H66="",0,SUM(L39:L69))</f>
        <v>0</v>
      </c>
    </row>
    <row r="15" spans="1:18" ht="13.5" thickBot="1" x14ac:dyDescent="0.25">
      <c r="C15" s="3"/>
      <c r="D15" s="3"/>
      <c r="E15" s="38">
        <f t="shared" si="1"/>
        <v>39399</v>
      </c>
      <c r="F15" s="9">
        <v>0.77083333333333337</v>
      </c>
      <c r="G15" s="8">
        <v>20298</v>
      </c>
      <c r="H15" s="75">
        <f t="shared" si="0"/>
        <v>0</v>
      </c>
      <c r="I15" s="41">
        <f t="shared" si="2"/>
        <v>38699</v>
      </c>
      <c r="J15" s="11" t="s">
        <v>26</v>
      </c>
      <c r="K15" s="10">
        <v>20331</v>
      </c>
      <c r="L15" s="30">
        <f t="shared" si="5"/>
        <v>0</v>
      </c>
      <c r="M15" s="43">
        <f t="shared" si="3"/>
        <v>38365</v>
      </c>
      <c r="N15" s="13" t="s">
        <v>290</v>
      </c>
      <c r="O15" s="12">
        <v>20381</v>
      </c>
      <c r="P15" s="23">
        <f t="shared" si="4"/>
        <v>3</v>
      </c>
      <c r="R15" s="72"/>
    </row>
    <row r="16" spans="1:18" ht="14.25" thickTop="1" thickBot="1" x14ac:dyDescent="0.25">
      <c r="A16" s="1" t="s">
        <v>58</v>
      </c>
      <c r="B16" s="2">
        <v>20405</v>
      </c>
      <c r="C16" s="125" t="s">
        <v>360</v>
      </c>
      <c r="D16" s="105">
        <v>44136</v>
      </c>
      <c r="E16" s="38">
        <f t="shared" si="1"/>
        <v>39400</v>
      </c>
      <c r="F16" s="9" t="s">
        <v>25</v>
      </c>
      <c r="G16" s="8">
        <v>20298</v>
      </c>
      <c r="H16" s="75">
        <f t="shared" si="0"/>
        <v>0</v>
      </c>
      <c r="I16" s="41">
        <f t="shared" si="2"/>
        <v>38700</v>
      </c>
      <c r="J16" s="11">
        <v>0.77083333333333337</v>
      </c>
      <c r="K16" s="10">
        <v>20331</v>
      </c>
      <c r="L16" s="30">
        <f t="shared" si="5"/>
        <v>0</v>
      </c>
      <c r="M16" s="43">
        <f t="shared" si="3"/>
        <v>38366</v>
      </c>
      <c r="N16" s="13" t="s">
        <v>290</v>
      </c>
      <c r="O16" s="12">
        <v>20384</v>
      </c>
      <c r="P16" s="23">
        <f t="shared" si="4"/>
        <v>3</v>
      </c>
      <c r="R16" s="123" t="s">
        <v>372</v>
      </c>
    </row>
    <row r="17" spans="1:18" ht="13.5" thickTop="1" x14ac:dyDescent="0.2">
      <c r="A17" s="1" t="s">
        <v>379</v>
      </c>
      <c r="B17" s="2">
        <f>(B16-('1920'!O3))*B68</f>
        <v>221.62622300000001</v>
      </c>
      <c r="C17" s="118"/>
      <c r="D17" s="118"/>
      <c r="E17" s="38">
        <f t="shared" si="1"/>
        <v>39401</v>
      </c>
      <c r="F17" s="9" t="s">
        <v>26</v>
      </c>
      <c r="G17" s="8">
        <v>20298</v>
      </c>
      <c r="H17" s="75">
        <f t="shared" si="0"/>
        <v>0</v>
      </c>
      <c r="I17" s="41">
        <f t="shared" si="2"/>
        <v>38701</v>
      </c>
      <c r="J17" s="11">
        <v>0.77083333333333337</v>
      </c>
      <c r="K17" s="10">
        <v>20335</v>
      </c>
      <c r="L17" s="30">
        <f t="shared" si="5"/>
        <v>4</v>
      </c>
      <c r="M17" s="43">
        <f t="shared" si="3"/>
        <v>38367</v>
      </c>
      <c r="N17" s="13" t="s">
        <v>290</v>
      </c>
      <c r="O17" s="12">
        <v>20388</v>
      </c>
      <c r="P17" s="23">
        <f t="shared" si="4"/>
        <v>4</v>
      </c>
      <c r="R17" s="124">
        <f>R4+R6+R8+R10+R12+R14</f>
        <v>158</v>
      </c>
    </row>
    <row r="18" spans="1:18" x14ac:dyDescent="0.2">
      <c r="A18" s="1" t="s">
        <v>386</v>
      </c>
      <c r="B18" s="2">
        <f>IF(OR(O3&gt;B16,O3=""),0,B16-K33)</f>
        <v>44</v>
      </c>
      <c r="C18" s="3"/>
      <c r="D18" s="3"/>
      <c r="E18" s="38">
        <f t="shared" si="1"/>
        <v>39402</v>
      </c>
      <c r="F18" s="9">
        <v>0.77083333333333337</v>
      </c>
      <c r="G18" s="8">
        <v>20298</v>
      </c>
      <c r="H18" s="75">
        <f t="shared" si="0"/>
        <v>0</v>
      </c>
      <c r="I18" s="41">
        <f t="shared" si="2"/>
        <v>38702</v>
      </c>
      <c r="J18" s="11">
        <v>0.77083333333333337</v>
      </c>
      <c r="K18" s="10">
        <v>20338</v>
      </c>
      <c r="L18" s="30">
        <f t="shared" si="5"/>
        <v>3</v>
      </c>
      <c r="M18" s="43">
        <f t="shared" si="3"/>
        <v>38368</v>
      </c>
      <c r="N18" s="13" t="s">
        <v>25</v>
      </c>
      <c r="O18" s="12">
        <v>20388</v>
      </c>
      <c r="P18" s="23">
        <f t="shared" si="4"/>
        <v>0</v>
      </c>
      <c r="R18" s="72"/>
    </row>
    <row r="19" spans="1:18" x14ac:dyDescent="0.2">
      <c r="E19" s="38">
        <f t="shared" si="1"/>
        <v>39403</v>
      </c>
      <c r="F19" s="9">
        <v>0.77083333333333337</v>
      </c>
      <c r="G19" s="8">
        <v>20298</v>
      </c>
      <c r="H19" s="75">
        <f t="shared" si="0"/>
        <v>0</v>
      </c>
      <c r="I19" s="41">
        <f t="shared" si="2"/>
        <v>38703</v>
      </c>
      <c r="J19" s="11">
        <v>0.77083333333333337</v>
      </c>
      <c r="K19" s="10">
        <v>20339</v>
      </c>
      <c r="L19" s="30">
        <f t="shared" si="5"/>
        <v>1</v>
      </c>
      <c r="M19" s="43">
        <f t="shared" si="3"/>
        <v>38369</v>
      </c>
      <c r="N19" s="13" t="s">
        <v>26</v>
      </c>
      <c r="O19" s="12">
        <v>20388</v>
      </c>
      <c r="P19" s="23">
        <f t="shared" si="4"/>
        <v>0</v>
      </c>
      <c r="R19" s="72"/>
    </row>
    <row r="20" spans="1:18" x14ac:dyDescent="0.2">
      <c r="A20" s="1" t="s">
        <v>388</v>
      </c>
      <c r="B20" s="2">
        <f>IF(AND(B13&gt;480,B17&lt;480),480-B17,0)</f>
        <v>0</v>
      </c>
      <c r="C20" s="3"/>
      <c r="D20" s="3"/>
      <c r="E20" s="38">
        <f t="shared" si="1"/>
        <v>39404</v>
      </c>
      <c r="F20" s="9">
        <v>0.77083333333333337</v>
      </c>
      <c r="G20" s="8">
        <v>20298</v>
      </c>
      <c r="H20" s="75">
        <f t="shared" si="0"/>
        <v>0</v>
      </c>
      <c r="I20" s="41">
        <f t="shared" si="2"/>
        <v>38704</v>
      </c>
      <c r="J20" s="11">
        <v>0.77083333333333337</v>
      </c>
      <c r="K20" s="10">
        <v>20340</v>
      </c>
      <c r="L20" s="30">
        <f t="shared" si="5"/>
        <v>1</v>
      </c>
      <c r="M20" s="43">
        <f t="shared" si="3"/>
        <v>38370</v>
      </c>
      <c r="N20" s="13" t="s">
        <v>290</v>
      </c>
      <c r="O20" s="12">
        <v>20391</v>
      </c>
      <c r="P20" s="23">
        <f t="shared" si="4"/>
        <v>3</v>
      </c>
      <c r="R20" s="72"/>
    </row>
    <row r="21" spans="1:18" x14ac:dyDescent="0.2">
      <c r="A21" s="1" t="s">
        <v>387</v>
      </c>
      <c r="B21" s="2">
        <f>IF(AND(B14&gt;0,B18=0),(K33-B16-B20)*B68,120)</f>
        <v>120</v>
      </c>
      <c r="C21" s="3"/>
      <c r="D21" s="3"/>
      <c r="E21" s="38">
        <f t="shared" si="1"/>
        <v>39405</v>
      </c>
      <c r="F21" s="9">
        <v>0.77083333333333337</v>
      </c>
      <c r="G21" s="8">
        <v>20298</v>
      </c>
      <c r="H21" s="75">
        <f t="shared" si="0"/>
        <v>0</v>
      </c>
      <c r="I21" s="41">
        <f t="shared" si="2"/>
        <v>38705</v>
      </c>
      <c r="J21" s="11" t="s">
        <v>25</v>
      </c>
      <c r="K21" s="10">
        <v>20340</v>
      </c>
      <c r="L21" s="30">
        <f t="shared" si="5"/>
        <v>0</v>
      </c>
      <c r="M21" s="43">
        <f t="shared" si="3"/>
        <v>38371</v>
      </c>
      <c r="N21" s="13" t="s">
        <v>290</v>
      </c>
      <c r="O21" s="12">
        <v>20394</v>
      </c>
      <c r="P21" s="23">
        <f t="shared" si="4"/>
        <v>3</v>
      </c>
      <c r="R21" s="72"/>
    </row>
    <row r="22" spans="1:18" x14ac:dyDescent="0.2">
      <c r="A22" s="1" t="s">
        <v>389</v>
      </c>
      <c r="B22" s="104"/>
      <c r="C22" s="104"/>
      <c r="E22" s="38">
        <f t="shared" si="1"/>
        <v>39406</v>
      </c>
      <c r="F22" s="9">
        <v>0.77083333333333337</v>
      </c>
      <c r="G22" s="8">
        <v>20300</v>
      </c>
      <c r="H22" s="75">
        <f t="shared" si="0"/>
        <v>2</v>
      </c>
      <c r="I22" s="41">
        <f t="shared" si="2"/>
        <v>38706</v>
      </c>
      <c r="J22" s="11" t="s">
        <v>26</v>
      </c>
      <c r="K22" s="10">
        <v>20340</v>
      </c>
      <c r="L22" s="30">
        <f t="shared" si="5"/>
        <v>0</v>
      </c>
      <c r="M22" s="43">
        <f t="shared" si="3"/>
        <v>38372</v>
      </c>
      <c r="N22" s="13" t="s">
        <v>290</v>
      </c>
      <c r="O22" s="12">
        <v>20397</v>
      </c>
      <c r="P22" s="23">
        <f t="shared" si="4"/>
        <v>3</v>
      </c>
      <c r="R22" s="72"/>
    </row>
    <row r="23" spans="1:18" x14ac:dyDescent="0.2">
      <c r="A23" s="1" t="s">
        <v>354</v>
      </c>
      <c r="B23" s="104">
        <f>IF(B14=0,0,B14-120)</f>
        <v>-22.974694999999997</v>
      </c>
      <c r="E23" s="38">
        <f t="shared" si="1"/>
        <v>39407</v>
      </c>
      <c r="F23" s="9" t="s">
        <v>25</v>
      </c>
      <c r="G23" s="8">
        <v>20300</v>
      </c>
      <c r="H23" s="75">
        <f t="shared" si="0"/>
        <v>0</v>
      </c>
      <c r="I23" s="41">
        <f t="shared" si="2"/>
        <v>38707</v>
      </c>
      <c r="J23" s="11">
        <v>0.77083333333333337</v>
      </c>
      <c r="K23" s="10">
        <v>20343</v>
      </c>
      <c r="L23" s="30">
        <f t="shared" si="5"/>
        <v>3</v>
      </c>
      <c r="M23" s="43">
        <f t="shared" si="3"/>
        <v>38373</v>
      </c>
      <c r="N23" s="13" t="s">
        <v>290</v>
      </c>
      <c r="O23" s="12">
        <v>20400</v>
      </c>
      <c r="P23" s="23">
        <f t="shared" si="4"/>
        <v>3</v>
      </c>
      <c r="R23" s="72"/>
    </row>
    <row r="24" spans="1:18" x14ac:dyDescent="0.2">
      <c r="A24" s="1" t="s">
        <v>390</v>
      </c>
      <c r="B24" s="104"/>
      <c r="E24" s="38">
        <f t="shared" si="1"/>
        <v>39408</v>
      </c>
      <c r="F24" s="9" t="s">
        <v>26</v>
      </c>
      <c r="G24" s="8">
        <v>20300</v>
      </c>
      <c r="H24" s="75">
        <f t="shared" si="0"/>
        <v>0</v>
      </c>
      <c r="I24" s="41">
        <f t="shared" si="2"/>
        <v>38708</v>
      </c>
      <c r="J24" s="11">
        <v>0.77083333333333337</v>
      </c>
      <c r="K24" s="10">
        <v>20345</v>
      </c>
      <c r="L24" s="30">
        <f t="shared" si="5"/>
        <v>2</v>
      </c>
      <c r="M24" s="43">
        <f t="shared" si="3"/>
        <v>38374</v>
      </c>
      <c r="N24" s="13" t="s">
        <v>290</v>
      </c>
      <c r="O24" s="12">
        <v>20403</v>
      </c>
      <c r="P24" s="23">
        <f t="shared" si="4"/>
        <v>3</v>
      </c>
      <c r="R24" s="72"/>
    </row>
    <row r="25" spans="1:18" x14ac:dyDescent="0.2">
      <c r="E25" s="38">
        <f t="shared" si="1"/>
        <v>39409</v>
      </c>
      <c r="F25" s="9" t="s">
        <v>290</v>
      </c>
      <c r="G25" s="8">
        <v>20300</v>
      </c>
      <c r="H25" s="75">
        <f t="shared" si="0"/>
        <v>0</v>
      </c>
      <c r="I25" s="41">
        <f t="shared" si="2"/>
        <v>38709</v>
      </c>
      <c r="J25" s="11">
        <v>0.77083333333333337</v>
      </c>
      <c r="K25" s="10">
        <v>20347</v>
      </c>
      <c r="L25" s="30">
        <f t="shared" si="5"/>
        <v>2</v>
      </c>
      <c r="M25" s="43">
        <f t="shared" si="3"/>
        <v>38375</v>
      </c>
      <c r="N25" s="13" t="s">
        <v>25</v>
      </c>
      <c r="O25" s="12">
        <v>20403</v>
      </c>
      <c r="P25" s="23">
        <f t="shared" si="4"/>
        <v>0</v>
      </c>
      <c r="R25" s="72"/>
    </row>
    <row r="26" spans="1:18" x14ac:dyDescent="0.2">
      <c r="A26" s="1" t="s">
        <v>391</v>
      </c>
      <c r="B26" s="66" t="s">
        <v>8</v>
      </c>
      <c r="C26" s="67" t="s">
        <v>5</v>
      </c>
      <c r="D26" s="67" t="s">
        <v>6</v>
      </c>
      <c r="E26" s="38">
        <f t="shared" si="1"/>
        <v>39410</v>
      </c>
      <c r="F26" s="9" t="s">
        <v>290</v>
      </c>
      <c r="G26" s="8">
        <v>20303</v>
      </c>
      <c r="H26" s="75">
        <f t="shared" si="0"/>
        <v>3</v>
      </c>
      <c r="I26" s="41">
        <f t="shared" si="2"/>
        <v>38710</v>
      </c>
      <c r="J26" s="11">
        <v>0.77083333333333337</v>
      </c>
      <c r="K26" s="10">
        <v>20349</v>
      </c>
      <c r="L26" s="30">
        <f t="shared" si="5"/>
        <v>2</v>
      </c>
      <c r="M26" s="43">
        <f t="shared" si="3"/>
        <v>38376</v>
      </c>
      <c r="N26" s="13" t="s">
        <v>26</v>
      </c>
      <c r="O26" s="12">
        <v>20403</v>
      </c>
      <c r="P26" s="23">
        <f t="shared" si="4"/>
        <v>0</v>
      </c>
      <c r="R26" s="72"/>
    </row>
    <row r="27" spans="1:18" x14ac:dyDescent="0.2">
      <c r="A27" s="5"/>
      <c r="B27" s="2"/>
      <c r="C27" s="3"/>
      <c r="D27" s="3"/>
      <c r="E27" s="38">
        <f t="shared" si="1"/>
        <v>39411</v>
      </c>
      <c r="F27" s="9">
        <v>0.77083333333333337</v>
      </c>
      <c r="G27" s="8">
        <v>20305</v>
      </c>
      <c r="H27" s="75">
        <f t="shared" si="0"/>
        <v>2</v>
      </c>
      <c r="I27" s="46">
        <f t="shared" si="2"/>
        <v>38711</v>
      </c>
      <c r="J27" s="11" t="s">
        <v>31</v>
      </c>
      <c r="K27" s="10">
        <v>20349</v>
      </c>
      <c r="L27" s="30">
        <f t="shared" si="5"/>
        <v>0</v>
      </c>
      <c r="M27" s="43">
        <f t="shared" si="3"/>
        <v>38377</v>
      </c>
      <c r="N27" s="13" t="s">
        <v>290</v>
      </c>
      <c r="O27" s="12">
        <v>20406</v>
      </c>
      <c r="P27" s="23">
        <f t="shared" si="4"/>
        <v>3</v>
      </c>
      <c r="R27" s="72"/>
    </row>
    <row r="28" spans="1:18" x14ac:dyDescent="0.2">
      <c r="A28" s="1" t="s">
        <v>0</v>
      </c>
      <c r="B28" s="2">
        <f ca="1">SUM(TODAY()-D16)</f>
        <v>884</v>
      </c>
      <c r="C28" s="3"/>
      <c r="D28" s="3"/>
      <c r="E28" s="38">
        <f t="shared" si="1"/>
        <v>39412</v>
      </c>
      <c r="F28" s="9">
        <v>0.77083333333333337</v>
      </c>
      <c r="G28" s="8">
        <v>20307</v>
      </c>
      <c r="H28" s="75">
        <f t="shared" si="0"/>
        <v>2</v>
      </c>
      <c r="I28" s="41">
        <f t="shared" si="2"/>
        <v>38712</v>
      </c>
      <c r="J28" s="11" t="s">
        <v>392</v>
      </c>
      <c r="K28" s="10">
        <v>20349</v>
      </c>
      <c r="L28" s="30">
        <f t="shared" si="5"/>
        <v>0</v>
      </c>
      <c r="M28" s="43">
        <f t="shared" si="3"/>
        <v>38378</v>
      </c>
      <c r="N28" s="13" t="s">
        <v>290</v>
      </c>
      <c r="O28" s="12">
        <v>20410</v>
      </c>
      <c r="P28" s="23">
        <f t="shared" si="4"/>
        <v>4</v>
      </c>
      <c r="R28" s="72"/>
    </row>
    <row r="29" spans="1:18" x14ac:dyDescent="0.2">
      <c r="A29" s="1" t="s">
        <v>85</v>
      </c>
      <c r="B29" s="2">
        <f>(MAX(G3:G32, K3:K33,O3:O33, G37:G70, K37:K72, O37:O71)-B16)*B68</f>
        <v>52.087269000000006</v>
      </c>
      <c r="C29" s="3"/>
      <c r="D29" s="3"/>
      <c r="E29" s="38">
        <f t="shared" si="1"/>
        <v>39413</v>
      </c>
      <c r="F29" s="9">
        <v>0.77083333333333337</v>
      </c>
      <c r="G29" s="8">
        <v>20309</v>
      </c>
      <c r="H29" s="75">
        <f t="shared" si="0"/>
        <v>2</v>
      </c>
      <c r="I29" s="41">
        <f>I28+1</f>
        <v>38713</v>
      </c>
      <c r="J29" s="11" t="s">
        <v>26</v>
      </c>
      <c r="K29" s="10">
        <v>20349</v>
      </c>
      <c r="L29" s="30">
        <f t="shared" si="5"/>
        <v>0</v>
      </c>
      <c r="M29" s="43">
        <f>M28+1</f>
        <v>38379</v>
      </c>
      <c r="N29" s="13" t="s">
        <v>290</v>
      </c>
      <c r="O29" s="12">
        <v>20413</v>
      </c>
      <c r="P29" s="23">
        <f t="shared" si="4"/>
        <v>3</v>
      </c>
      <c r="R29" s="72"/>
    </row>
    <row r="30" spans="1:18" x14ac:dyDescent="0.2">
      <c r="A30" s="1" t="s">
        <v>295</v>
      </c>
      <c r="B30" s="2">
        <f>IF((B14&gt;120),0,B29)</f>
        <v>52.087269000000006</v>
      </c>
      <c r="C30" s="3">
        <f>B54</f>
        <v>0.27385999999999999</v>
      </c>
      <c r="D30" s="3">
        <f>(B30*C30)</f>
        <v>14.264619488340001</v>
      </c>
      <c r="E30" s="38">
        <f t="shared" si="1"/>
        <v>39414</v>
      </c>
      <c r="F30" s="9" t="s">
        <v>25</v>
      </c>
      <c r="G30" s="8">
        <v>20309</v>
      </c>
      <c r="H30" s="75">
        <f t="shared" si="0"/>
        <v>0</v>
      </c>
      <c r="I30" s="41">
        <f>I29+1</f>
        <v>38714</v>
      </c>
      <c r="J30" s="11">
        <v>0.77083333333333337</v>
      </c>
      <c r="K30" s="10">
        <v>20349</v>
      </c>
      <c r="L30" s="30">
        <f t="shared" si="5"/>
        <v>0</v>
      </c>
      <c r="M30" s="43">
        <f>M29+1</f>
        <v>38380</v>
      </c>
      <c r="N30" s="13" t="s">
        <v>290</v>
      </c>
      <c r="O30" s="12">
        <v>20416</v>
      </c>
      <c r="P30" s="23">
        <f t="shared" si="4"/>
        <v>3</v>
      </c>
      <c r="R30" s="72"/>
    </row>
    <row r="31" spans="1:18" x14ac:dyDescent="0.2">
      <c r="A31" s="1" t="s">
        <v>296</v>
      </c>
      <c r="B31" s="121">
        <f>IF(AND(B14&gt;120,B13&lt;480),(B29),0)</f>
        <v>0</v>
      </c>
      <c r="C31" s="3">
        <f>B55</f>
        <v>0.27385999999999999</v>
      </c>
      <c r="D31" s="3">
        <f>(B31*C31)</f>
        <v>0</v>
      </c>
      <c r="E31" s="38">
        <f t="shared" si="1"/>
        <v>39415</v>
      </c>
      <c r="F31" s="9" t="s">
        <v>26</v>
      </c>
      <c r="G31" s="8">
        <v>20309</v>
      </c>
      <c r="H31" s="75">
        <f t="shared" si="0"/>
        <v>0</v>
      </c>
      <c r="I31" s="41">
        <f>I30+1</f>
        <v>38715</v>
      </c>
      <c r="J31" s="11">
        <v>0.77083333333333337</v>
      </c>
      <c r="K31" s="10">
        <v>20353</v>
      </c>
      <c r="L31" s="30">
        <f t="shared" si="5"/>
        <v>4</v>
      </c>
      <c r="M31" s="43">
        <f>M30+1</f>
        <v>38381</v>
      </c>
      <c r="N31" s="13" t="s">
        <v>290</v>
      </c>
      <c r="O31" s="12">
        <v>20419</v>
      </c>
      <c r="P31" s="23">
        <f t="shared" si="4"/>
        <v>3</v>
      </c>
      <c r="R31" s="72"/>
    </row>
    <row r="32" spans="1:18" x14ac:dyDescent="0.2">
      <c r="A32" s="1" t="s">
        <v>297</v>
      </c>
      <c r="B32" s="2">
        <f>IF(K33&lt;O3,0,0)</f>
        <v>0</v>
      </c>
      <c r="C32" s="3">
        <f>B56</f>
        <v>0.27385999999999999</v>
      </c>
      <c r="D32" s="3">
        <f>(B32*C32)</f>
        <v>0</v>
      </c>
      <c r="E32" s="38">
        <f t="shared" si="1"/>
        <v>39416</v>
      </c>
      <c r="F32" s="9">
        <v>0.77083333333333337</v>
      </c>
      <c r="G32" s="8">
        <v>20309</v>
      </c>
      <c r="H32" s="75">
        <f t="shared" si="0"/>
        <v>0</v>
      </c>
      <c r="I32" s="41">
        <f>I31+1</f>
        <v>38716</v>
      </c>
      <c r="J32" s="11">
        <v>0.77083333333333337</v>
      </c>
      <c r="K32" s="10">
        <v>20357</v>
      </c>
      <c r="L32" s="30">
        <f t="shared" si="5"/>
        <v>4</v>
      </c>
      <c r="M32" s="43">
        <f>M31+1</f>
        <v>38382</v>
      </c>
      <c r="N32" s="13" t="s">
        <v>25</v>
      </c>
      <c r="O32" s="12">
        <v>20419</v>
      </c>
      <c r="P32" s="23">
        <f t="shared" si="4"/>
        <v>0</v>
      </c>
      <c r="R32" s="72"/>
    </row>
    <row r="33" spans="1:18" x14ac:dyDescent="0.2">
      <c r="A33" s="1" t="s">
        <v>311</v>
      </c>
      <c r="B33" s="2">
        <f>B30</f>
        <v>52.087269000000006</v>
      </c>
      <c r="C33" s="68">
        <v>7.9459999999999999E-3</v>
      </c>
      <c r="D33" s="3">
        <f>(B33*C33)</f>
        <v>0.41388543947400003</v>
      </c>
      <c r="E33" s="38"/>
      <c r="F33" s="8"/>
      <c r="G33" s="8"/>
      <c r="H33" s="75" t="str">
        <f t="shared" si="0"/>
        <v/>
      </c>
      <c r="I33" s="41">
        <f>I32+1</f>
        <v>38717</v>
      </c>
      <c r="J33" s="11">
        <v>0.77083333333333337</v>
      </c>
      <c r="K33" s="10">
        <v>20361</v>
      </c>
      <c r="L33" s="30">
        <f t="shared" si="5"/>
        <v>4</v>
      </c>
      <c r="M33" s="43">
        <f>M32+1</f>
        <v>38383</v>
      </c>
      <c r="N33" s="13" t="s">
        <v>26</v>
      </c>
      <c r="O33" s="12">
        <v>20419</v>
      </c>
      <c r="P33" s="23">
        <f t="shared" si="4"/>
        <v>0</v>
      </c>
      <c r="R33" s="72"/>
    </row>
    <row r="34" spans="1:18" ht="13.5" thickBot="1" x14ac:dyDescent="0.25">
      <c r="A34" s="1" t="s">
        <v>312</v>
      </c>
      <c r="B34" s="2">
        <f>B31</f>
        <v>0</v>
      </c>
      <c r="C34" s="68">
        <v>7.9459999999999999E-3</v>
      </c>
      <c r="D34" s="3">
        <f t="shared" ref="D34:D48" si="6">B34*C34</f>
        <v>0</v>
      </c>
      <c r="E34" s="38"/>
      <c r="F34" s="8"/>
      <c r="G34" s="8"/>
      <c r="H34" s="75" t="str">
        <f t="shared" si="0"/>
        <v/>
      </c>
      <c r="I34" s="41"/>
      <c r="J34" s="51"/>
      <c r="K34" s="57"/>
      <c r="L34" s="30" t="str">
        <f t="shared" si="5"/>
        <v/>
      </c>
      <c r="M34" s="43"/>
      <c r="N34" s="12"/>
      <c r="O34" s="12"/>
      <c r="P34" s="23" t="str">
        <f t="shared" si="4"/>
        <v/>
      </c>
      <c r="R34" s="72"/>
    </row>
    <row r="35" spans="1:18" ht="13.5" thickTop="1" x14ac:dyDescent="0.2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7" t="s">
        <v>13</v>
      </c>
      <c r="F35" s="19" t="s">
        <v>10</v>
      </c>
      <c r="G35" s="19" t="s">
        <v>9</v>
      </c>
      <c r="H35" s="74" t="s">
        <v>11</v>
      </c>
      <c r="I35" s="45" t="s">
        <v>14</v>
      </c>
      <c r="J35" s="35" t="s">
        <v>10</v>
      </c>
      <c r="K35" s="20" t="s">
        <v>9</v>
      </c>
      <c r="L35" s="50" t="s">
        <v>11</v>
      </c>
      <c r="M35" s="48" t="s">
        <v>21</v>
      </c>
      <c r="N35" s="21" t="s">
        <v>10</v>
      </c>
      <c r="O35" s="21" t="s">
        <v>9</v>
      </c>
      <c r="P35" s="22" t="s">
        <v>11</v>
      </c>
      <c r="R35" s="72"/>
    </row>
    <row r="36" spans="1:18" x14ac:dyDescent="0.2">
      <c r="A36" s="1" t="s">
        <v>301</v>
      </c>
      <c r="B36" s="2">
        <f t="shared" ref="B36:B41" si="7">B30</f>
        <v>52.087269000000006</v>
      </c>
      <c r="C36" s="3">
        <v>5.9560000000000002E-2</v>
      </c>
      <c r="D36" s="3">
        <f t="shared" si="6"/>
        <v>3.1023177416400003</v>
      </c>
      <c r="E36" s="38"/>
      <c r="F36" s="8"/>
      <c r="G36" s="8"/>
      <c r="H36" s="75"/>
      <c r="I36" s="46"/>
      <c r="J36" s="11"/>
      <c r="K36" s="10"/>
      <c r="L36" s="30"/>
      <c r="M36" s="49"/>
      <c r="N36" s="12"/>
      <c r="O36" s="12"/>
      <c r="P36" s="23"/>
      <c r="R36" s="72"/>
    </row>
    <row r="37" spans="1:18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>
        <v>38384</v>
      </c>
      <c r="F37" s="9">
        <v>0.77083333333333337</v>
      </c>
      <c r="G37" s="8">
        <v>20422</v>
      </c>
      <c r="H37" s="75">
        <f>G37-O33</f>
        <v>3</v>
      </c>
      <c r="I37" s="46">
        <v>38412</v>
      </c>
      <c r="J37" s="11">
        <v>0.77083333333333337</v>
      </c>
      <c r="K37" s="10">
        <v>20456</v>
      </c>
      <c r="L37" s="30">
        <f>IF(AND(H68&lt;&gt;"",K37&lt;&gt;""),K37-K36,K37-MAX(G37:G68))</f>
        <v>0</v>
      </c>
      <c r="M37" s="43">
        <v>38443</v>
      </c>
      <c r="N37" s="13">
        <v>0.77083333333333337</v>
      </c>
      <c r="O37" s="12"/>
      <c r="P37" s="23">
        <f>IF(AND(L68&lt;&gt;"",O37&lt;&gt;""),O37-O36,O37-MAX(K37:K68))</f>
        <v>-20456</v>
      </c>
      <c r="R37" s="72"/>
    </row>
    <row r="38" spans="1:18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f>E37+1</f>
        <v>38385</v>
      </c>
      <c r="F38" s="9">
        <v>0.77083333333333337</v>
      </c>
      <c r="G38" s="8">
        <v>20425</v>
      </c>
      <c r="H38" s="75">
        <f t="shared" ref="H38:H61" si="8">IF(AND(H37&lt;&gt;"",G38&lt;&gt;""),G38-G37,"")</f>
        <v>3</v>
      </c>
      <c r="I38" s="41">
        <f>I37+1</f>
        <v>38413</v>
      </c>
      <c r="J38" s="11">
        <v>0.77083333333333337</v>
      </c>
      <c r="K38" s="10">
        <v>20456</v>
      </c>
      <c r="L38" s="30">
        <f t="shared" ref="L38:L68" si="9">IF(AND(L37&lt;&gt;"",K38&lt;&gt;""),K38-K37,"")</f>
        <v>0</v>
      </c>
      <c r="M38" s="43">
        <f>M37+1</f>
        <v>38444</v>
      </c>
      <c r="N38" s="13" t="s">
        <v>25</v>
      </c>
      <c r="O38" s="12"/>
      <c r="P38" s="23" t="str">
        <f t="shared" ref="P38:P66" si="10">IF(AND(P37&lt;&gt;"",O38&lt;&gt;""),O38-O37,"")</f>
        <v/>
      </c>
      <c r="R38" s="72"/>
    </row>
    <row r="39" spans="1:18" x14ac:dyDescent="0.2">
      <c r="A39" s="1" t="s">
        <v>292</v>
      </c>
      <c r="B39" s="2">
        <f t="shared" si="7"/>
        <v>52.087269000000006</v>
      </c>
      <c r="C39" s="3">
        <v>3.0720999999999998E-2</v>
      </c>
      <c r="D39" s="3">
        <f t="shared" si="6"/>
        <v>1.6001729909490001</v>
      </c>
      <c r="E39" s="38">
        <f t="shared" ref="E39:E64" si="11">E38+1</f>
        <v>38386</v>
      </c>
      <c r="F39" s="9">
        <v>0.77083333333333337</v>
      </c>
      <c r="G39" s="8">
        <v>20427</v>
      </c>
      <c r="H39" s="75">
        <f t="shared" si="8"/>
        <v>2</v>
      </c>
      <c r="I39" s="41">
        <f t="shared" ref="I39:I61" si="12">I38+1</f>
        <v>38414</v>
      </c>
      <c r="J39" s="11">
        <v>0.77083333333333337</v>
      </c>
      <c r="K39" s="10">
        <v>20456</v>
      </c>
      <c r="L39" s="30">
        <f t="shared" si="9"/>
        <v>0</v>
      </c>
      <c r="M39" s="43">
        <f t="shared" ref="M39:M66" si="13">M38+1</f>
        <v>38445</v>
      </c>
      <c r="N39" s="13" t="s">
        <v>26</v>
      </c>
      <c r="O39" s="12"/>
      <c r="P39" s="23" t="str">
        <f t="shared" si="10"/>
        <v/>
      </c>
      <c r="R39" s="72"/>
    </row>
    <row r="40" spans="1:18" x14ac:dyDescent="0.2">
      <c r="A40" s="1" t="s">
        <v>293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si="11"/>
        <v>38387</v>
      </c>
      <c r="F40" s="9">
        <v>0.77083333333333337</v>
      </c>
      <c r="G40" s="8">
        <v>20429</v>
      </c>
      <c r="H40" s="75">
        <f t="shared" si="8"/>
        <v>2</v>
      </c>
      <c r="I40" s="41">
        <f t="shared" si="12"/>
        <v>38415</v>
      </c>
      <c r="J40" s="11">
        <v>0.77083333333333337</v>
      </c>
      <c r="K40" s="10">
        <v>20456</v>
      </c>
      <c r="L40" s="30">
        <f t="shared" si="9"/>
        <v>0</v>
      </c>
      <c r="M40" s="43">
        <f t="shared" si="13"/>
        <v>38446</v>
      </c>
      <c r="N40" s="13">
        <v>0.77083333333333337</v>
      </c>
      <c r="O40" s="12"/>
      <c r="P40" s="23" t="str">
        <f t="shared" si="10"/>
        <v/>
      </c>
      <c r="R40" s="72"/>
    </row>
    <row r="41" spans="1:18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38388</v>
      </c>
      <c r="F41" s="9">
        <v>0.77083333333333337</v>
      </c>
      <c r="G41" s="8">
        <v>20433</v>
      </c>
      <c r="H41" s="75">
        <f t="shared" si="8"/>
        <v>4</v>
      </c>
      <c r="I41" s="41">
        <f t="shared" si="12"/>
        <v>38416</v>
      </c>
      <c r="J41" s="11" t="s">
        <v>25</v>
      </c>
      <c r="K41" s="10">
        <v>20456</v>
      </c>
      <c r="L41" s="30">
        <f t="shared" si="9"/>
        <v>0</v>
      </c>
      <c r="M41" s="43">
        <f t="shared" si="13"/>
        <v>38447</v>
      </c>
      <c r="N41" s="13">
        <v>0.77083333333333337</v>
      </c>
      <c r="O41" s="12"/>
      <c r="P41" s="23" t="str">
        <f t="shared" si="10"/>
        <v/>
      </c>
      <c r="R41" s="72"/>
    </row>
    <row r="42" spans="1:18" x14ac:dyDescent="0.2">
      <c r="A42" s="1" t="s">
        <v>323</v>
      </c>
      <c r="B42" s="2">
        <f ca="1">B28</f>
        <v>884</v>
      </c>
      <c r="C42" s="70">
        <f>(B62+B63+B64)/365</f>
        <v>0.2233698630136986</v>
      </c>
      <c r="D42" s="3">
        <f t="shared" ca="1" si="6"/>
        <v>197.45895890410955</v>
      </c>
      <c r="E42" s="38">
        <f t="shared" si="11"/>
        <v>38389</v>
      </c>
      <c r="F42" s="9" t="s">
        <v>25</v>
      </c>
      <c r="G42" s="8">
        <v>20433</v>
      </c>
      <c r="H42" s="75">
        <f t="shared" si="8"/>
        <v>0</v>
      </c>
      <c r="I42" s="41">
        <f t="shared" si="12"/>
        <v>38417</v>
      </c>
      <c r="J42" s="11" t="s">
        <v>26</v>
      </c>
      <c r="K42" s="10">
        <v>20456</v>
      </c>
      <c r="L42" s="30">
        <f t="shared" si="9"/>
        <v>0</v>
      </c>
      <c r="M42" s="43">
        <f t="shared" si="13"/>
        <v>38448</v>
      </c>
      <c r="N42" s="13">
        <v>0.77083333333333337</v>
      </c>
      <c r="O42" s="12"/>
      <c r="P42" s="23" t="str">
        <f t="shared" si="10"/>
        <v/>
      </c>
      <c r="R42" s="72"/>
    </row>
    <row r="43" spans="1:18" x14ac:dyDescent="0.2">
      <c r="A43" s="1" t="s">
        <v>22</v>
      </c>
      <c r="B43" s="2">
        <f>B30</f>
        <v>52.087269000000006</v>
      </c>
      <c r="C43" s="3">
        <v>2.6554000000000001E-2</v>
      </c>
      <c r="D43" s="3">
        <f t="shared" si="6"/>
        <v>1.3831253410260003</v>
      </c>
      <c r="E43" s="38">
        <f t="shared" si="11"/>
        <v>38390</v>
      </c>
      <c r="F43" s="9" t="s">
        <v>26</v>
      </c>
      <c r="G43" s="8">
        <v>20433</v>
      </c>
      <c r="H43" s="75">
        <f t="shared" si="8"/>
        <v>0</v>
      </c>
      <c r="I43" s="41">
        <f t="shared" si="12"/>
        <v>38418</v>
      </c>
      <c r="J43" s="11">
        <v>0.77083333333333337</v>
      </c>
      <c r="K43" s="10">
        <v>20456</v>
      </c>
      <c r="L43" s="30">
        <f t="shared" si="9"/>
        <v>0</v>
      </c>
      <c r="M43" s="43">
        <f t="shared" si="13"/>
        <v>38449</v>
      </c>
      <c r="N43" s="13">
        <v>0.77083333333333337</v>
      </c>
      <c r="O43" s="12"/>
      <c r="P43" s="23" t="str">
        <f t="shared" si="10"/>
        <v/>
      </c>
      <c r="R43" s="72"/>
    </row>
    <row r="44" spans="1:18" x14ac:dyDescent="0.2">
      <c r="A44" s="1" t="s">
        <v>15</v>
      </c>
      <c r="B44" s="2">
        <f>B31</f>
        <v>0</v>
      </c>
      <c r="C44" s="3">
        <v>0.125357</v>
      </c>
      <c r="D44" s="3">
        <f t="shared" si="6"/>
        <v>0</v>
      </c>
      <c r="E44" s="38">
        <f t="shared" si="11"/>
        <v>38391</v>
      </c>
      <c r="F44" s="9">
        <v>0.77083333333333337</v>
      </c>
      <c r="G44" s="8">
        <v>20433</v>
      </c>
      <c r="H44" s="75">
        <f t="shared" si="8"/>
        <v>0</v>
      </c>
      <c r="I44" s="41">
        <f t="shared" si="12"/>
        <v>38419</v>
      </c>
      <c r="J44" s="11">
        <v>0.77083333333333337</v>
      </c>
      <c r="K44" s="10">
        <v>20456</v>
      </c>
      <c r="L44" s="30">
        <f t="shared" si="9"/>
        <v>0</v>
      </c>
      <c r="M44" s="43">
        <f t="shared" si="13"/>
        <v>38450</v>
      </c>
      <c r="N44" s="13">
        <v>0.77083333333333337</v>
      </c>
      <c r="O44" s="12"/>
      <c r="P44" s="23" t="str">
        <f t="shared" si="10"/>
        <v/>
      </c>
      <c r="R44" s="72"/>
    </row>
    <row r="45" spans="1:18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38392</v>
      </c>
      <c r="F45" s="9">
        <v>0.77083333333333337</v>
      </c>
      <c r="G45" s="8">
        <v>20437</v>
      </c>
      <c r="H45" s="75">
        <f t="shared" si="8"/>
        <v>4</v>
      </c>
      <c r="I45" s="41">
        <f t="shared" si="12"/>
        <v>38420</v>
      </c>
      <c r="J45" s="11">
        <v>0.77083333333333337</v>
      </c>
      <c r="K45" s="10">
        <v>20456</v>
      </c>
      <c r="L45" s="30">
        <f t="shared" si="9"/>
        <v>0</v>
      </c>
      <c r="M45" s="43">
        <f t="shared" si="13"/>
        <v>38451</v>
      </c>
      <c r="N45" s="13" t="s">
        <v>25</v>
      </c>
      <c r="O45" s="12"/>
      <c r="P45" s="23" t="str">
        <f t="shared" si="10"/>
        <v/>
      </c>
      <c r="R45" s="72"/>
    </row>
    <row r="46" spans="1:18" x14ac:dyDescent="0.2">
      <c r="A46" s="1" t="s">
        <v>314</v>
      </c>
      <c r="B46" s="104">
        <f>B30</f>
        <v>52.087269000000006</v>
      </c>
      <c r="C46" s="120">
        <f>B58</f>
        <v>4.3999999999999997E-2</v>
      </c>
      <c r="D46" s="3">
        <f t="shared" si="6"/>
        <v>2.2918398360000003</v>
      </c>
      <c r="E46" s="38">
        <f t="shared" si="11"/>
        <v>38393</v>
      </c>
      <c r="F46" s="9">
        <v>0.77083333333333337</v>
      </c>
      <c r="G46" s="8">
        <v>20438</v>
      </c>
      <c r="H46" s="75">
        <f t="shared" si="8"/>
        <v>1</v>
      </c>
      <c r="I46" s="41">
        <f t="shared" si="12"/>
        <v>38421</v>
      </c>
      <c r="J46" s="11">
        <v>0.77083333333333337</v>
      </c>
      <c r="K46" s="10"/>
      <c r="L46" s="30" t="str">
        <f t="shared" si="9"/>
        <v/>
      </c>
      <c r="M46" s="43">
        <f t="shared" si="13"/>
        <v>38452</v>
      </c>
      <c r="N46" s="13" t="s">
        <v>26</v>
      </c>
      <c r="O46" s="12"/>
      <c r="P46" s="23" t="str">
        <f t="shared" si="10"/>
        <v/>
      </c>
      <c r="R46" s="72"/>
    </row>
    <row r="47" spans="1:18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6"/>
        <v>0</v>
      </c>
      <c r="E47" s="38">
        <f t="shared" si="11"/>
        <v>38394</v>
      </c>
      <c r="F47" s="9">
        <v>0.77083333333333337</v>
      </c>
      <c r="G47" s="8">
        <v>20440</v>
      </c>
      <c r="H47" s="75">
        <f t="shared" si="8"/>
        <v>2</v>
      </c>
      <c r="I47" s="41">
        <f t="shared" si="12"/>
        <v>38422</v>
      </c>
      <c r="J47" s="11">
        <v>0.77083333333333337</v>
      </c>
      <c r="K47" s="10"/>
      <c r="L47" s="30" t="str">
        <f t="shared" si="9"/>
        <v/>
      </c>
      <c r="M47" s="43">
        <f t="shared" si="13"/>
        <v>38453</v>
      </c>
      <c r="N47" s="13">
        <v>0.77083333333333337</v>
      </c>
      <c r="O47" s="12"/>
      <c r="P47" s="23" t="str">
        <f t="shared" si="10"/>
        <v/>
      </c>
      <c r="R47" s="72"/>
    </row>
    <row r="48" spans="1:18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38395</v>
      </c>
      <c r="F48" s="9">
        <v>0.77083333333333337</v>
      </c>
      <c r="G48" s="8">
        <v>20443</v>
      </c>
      <c r="H48" s="75">
        <f t="shared" si="8"/>
        <v>3</v>
      </c>
      <c r="I48" s="41">
        <f t="shared" si="12"/>
        <v>38423</v>
      </c>
      <c r="J48" s="11" t="s">
        <v>25</v>
      </c>
      <c r="K48" s="10"/>
      <c r="L48" s="30" t="str">
        <f t="shared" si="9"/>
        <v/>
      </c>
      <c r="M48" s="43">
        <f t="shared" si="13"/>
        <v>38454</v>
      </c>
      <c r="N48" s="13">
        <v>0.77083333333333337</v>
      </c>
      <c r="O48" s="12"/>
      <c r="P48" s="23" t="str">
        <f t="shared" si="10"/>
        <v/>
      </c>
      <c r="R48" s="72"/>
    </row>
    <row r="49" spans="1:18" x14ac:dyDescent="0.2">
      <c r="E49" s="38">
        <f t="shared" si="11"/>
        <v>38396</v>
      </c>
      <c r="F49" s="9" t="s">
        <v>25</v>
      </c>
      <c r="G49" s="8">
        <v>20443</v>
      </c>
      <c r="H49" s="75">
        <f t="shared" si="8"/>
        <v>0</v>
      </c>
      <c r="I49" s="41">
        <f t="shared" si="12"/>
        <v>38424</v>
      </c>
      <c r="J49" s="11" t="s">
        <v>26</v>
      </c>
      <c r="K49" s="10"/>
      <c r="L49" s="30" t="str">
        <f t="shared" si="9"/>
        <v/>
      </c>
      <c r="M49" s="43">
        <f t="shared" si="13"/>
        <v>38455</v>
      </c>
      <c r="N49" s="13">
        <v>0.77083333333333337</v>
      </c>
      <c r="O49" s="12"/>
      <c r="P49" s="23" t="str">
        <f t="shared" si="10"/>
        <v/>
      </c>
      <c r="R49" s="72"/>
    </row>
    <row r="50" spans="1:18" x14ac:dyDescent="0.2">
      <c r="E50" s="38">
        <f t="shared" si="11"/>
        <v>38397</v>
      </c>
      <c r="F50" s="9" t="s">
        <v>26</v>
      </c>
      <c r="G50" s="8">
        <v>20443</v>
      </c>
      <c r="H50" s="75">
        <f t="shared" si="8"/>
        <v>0</v>
      </c>
      <c r="I50" s="41">
        <f t="shared" si="12"/>
        <v>38425</v>
      </c>
      <c r="J50" s="11">
        <v>0.77083333333333337</v>
      </c>
      <c r="K50" s="10"/>
      <c r="L50" s="30" t="str">
        <f t="shared" si="9"/>
        <v/>
      </c>
      <c r="M50" s="43">
        <f t="shared" si="13"/>
        <v>38456</v>
      </c>
      <c r="N50" s="13">
        <v>0.77083333333333337</v>
      </c>
      <c r="O50" s="12"/>
      <c r="P50" s="23" t="str">
        <f t="shared" si="10"/>
        <v/>
      </c>
      <c r="R50" s="72"/>
    </row>
    <row r="51" spans="1:18" x14ac:dyDescent="0.2">
      <c r="A51" s="1" t="s">
        <v>96</v>
      </c>
      <c r="B51" s="2"/>
      <c r="C51" s="3"/>
      <c r="D51" s="55">
        <f>(SUM(D30:D31)+SUM(D33:D34)+SUM(D36:D37)+SUM(D39:D40)+SUM(D43+D44+D46+D47))*1.1</f>
        <v>25.361556921171907</v>
      </c>
      <c r="E51" s="38">
        <f t="shared" si="11"/>
        <v>38398</v>
      </c>
      <c r="F51" s="9">
        <v>0.77083333333333337</v>
      </c>
      <c r="G51" s="8">
        <v>20446</v>
      </c>
      <c r="H51" s="75">
        <f t="shared" si="8"/>
        <v>3</v>
      </c>
      <c r="I51" s="41">
        <f t="shared" si="12"/>
        <v>38426</v>
      </c>
      <c r="J51" s="11">
        <v>0.77083333333333337</v>
      </c>
      <c r="K51" s="10"/>
      <c r="L51" s="30" t="str">
        <f t="shared" si="9"/>
        <v/>
      </c>
      <c r="M51" s="43">
        <f t="shared" si="13"/>
        <v>38457</v>
      </c>
      <c r="N51" s="13">
        <v>0.77083333333333337</v>
      </c>
      <c r="O51" s="12"/>
      <c r="P51" s="23" t="str">
        <f t="shared" si="10"/>
        <v/>
      </c>
      <c r="R51" s="72"/>
    </row>
    <row r="52" spans="1:18" x14ac:dyDescent="0.2">
      <c r="A52" s="1" t="s">
        <v>264</v>
      </c>
      <c r="D52" s="55">
        <f ca="1">(SUM(D32+D35+D38+D41+D42+D45+D48))*1.22</f>
        <v>240.89992986301365</v>
      </c>
      <c r="E52" s="38">
        <f t="shared" si="11"/>
        <v>38399</v>
      </c>
      <c r="F52" s="9">
        <v>0.77083333333333337</v>
      </c>
      <c r="G52" s="8">
        <v>20450</v>
      </c>
      <c r="H52" s="75">
        <f t="shared" si="8"/>
        <v>4</v>
      </c>
      <c r="I52" s="41">
        <f t="shared" si="12"/>
        <v>38427</v>
      </c>
      <c r="J52" s="11">
        <v>0.77083333333333337</v>
      </c>
      <c r="K52" s="10"/>
      <c r="L52" s="30" t="str">
        <f t="shared" si="9"/>
        <v/>
      </c>
      <c r="M52" s="43">
        <f t="shared" si="13"/>
        <v>38458</v>
      </c>
      <c r="N52" s="13" t="s">
        <v>25</v>
      </c>
      <c r="O52" s="12"/>
      <c r="P52" s="23" t="str">
        <f t="shared" si="10"/>
        <v/>
      </c>
      <c r="R52" s="72"/>
    </row>
    <row r="53" spans="1:18" x14ac:dyDescent="0.2">
      <c r="A53" s="1"/>
      <c r="B53" s="2"/>
      <c r="C53" s="3"/>
      <c r="D53" s="3"/>
      <c r="E53" s="38">
        <f t="shared" si="11"/>
        <v>38400</v>
      </c>
      <c r="F53" s="9">
        <v>0.77083333333333337</v>
      </c>
      <c r="G53" s="8">
        <v>20452</v>
      </c>
      <c r="H53" s="75">
        <f t="shared" si="8"/>
        <v>2</v>
      </c>
      <c r="I53" s="41">
        <f t="shared" si="12"/>
        <v>38428</v>
      </c>
      <c r="J53" s="11">
        <v>0.77083333333333337</v>
      </c>
      <c r="K53" s="10"/>
      <c r="L53" s="30" t="str">
        <f t="shared" si="9"/>
        <v/>
      </c>
      <c r="M53" s="43">
        <f t="shared" si="13"/>
        <v>38459</v>
      </c>
      <c r="N53" s="13" t="s">
        <v>26</v>
      </c>
      <c r="O53" s="12"/>
      <c r="P53" s="23" t="str">
        <f t="shared" si="10"/>
        <v/>
      </c>
      <c r="R53" s="72"/>
    </row>
    <row r="54" spans="1:18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38401</v>
      </c>
      <c r="F54" s="9">
        <v>0.77083333333333337</v>
      </c>
      <c r="G54" s="8">
        <v>20455</v>
      </c>
      <c r="H54" s="75">
        <f t="shared" si="8"/>
        <v>3</v>
      </c>
      <c r="I54" s="41">
        <f t="shared" si="12"/>
        <v>38429</v>
      </c>
      <c r="J54" s="11">
        <v>0.77083333333333337</v>
      </c>
      <c r="K54" s="10"/>
      <c r="L54" s="30" t="str">
        <f t="shared" si="9"/>
        <v/>
      </c>
      <c r="M54" s="43">
        <f t="shared" si="13"/>
        <v>38460</v>
      </c>
      <c r="N54" s="13">
        <v>0.77083333333333337</v>
      </c>
      <c r="O54" s="12"/>
      <c r="P54" s="23" t="str">
        <f t="shared" si="10"/>
        <v/>
      </c>
      <c r="R54" s="72"/>
    </row>
    <row r="55" spans="1:18" x14ac:dyDescent="0.2">
      <c r="A55" s="1" t="s">
        <v>299</v>
      </c>
      <c r="B55" s="26">
        <v>0.27385999999999999</v>
      </c>
      <c r="C55" s="65"/>
      <c r="D55" s="3"/>
      <c r="E55" s="38">
        <f t="shared" si="11"/>
        <v>38402</v>
      </c>
      <c r="F55" s="9">
        <v>0.77083333333333337</v>
      </c>
      <c r="G55" s="8">
        <v>20456</v>
      </c>
      <c r="H55" s="75">
        <f t="shared" si="8"/>
        <v>1</v>
      </c>
      <c r="I55" s="41">
        <f t="shared" si="12"/>
        <v>38430</v>
      </c>
      <c r="J55" s="11" t="s">
        <v>25</v>
      </c>
      <c r="K55" s="10"/>
      <c r="L55" s="30" t="str">
        <f t="shared" si="9"/>
        <v/>
      </c>
      <c r="M55" s="43">
        <f t="shared" si="13"/>
        <v>38461</v>
      </c>
      <c r="N55" s="13">
        <v>0.77083333333333337</v>
      </c>
      <c r="O55" s="12"/>
      <c r="P55" s="23" t="str">
        <f t="shared" si="10"/>
        <v/>
      </c>
      <c r="R55" s="72"/>
    </row>
    <row r="56" spans="1:18" x14ac:dyDescent="0.2">
      <c r="A56" s="1" t="s">
        <v>300</v>
      </c>
      <c r="B56" s="26">
        <v>0.27385999999999999</v>
      </c>
      <c r="C56" s="65"/>
      <c r="D56" s="3"/>
      <c r="E56" s="38">
        <f t="shared" si="11"/>
        <v>38403</v>
      </c>
      <c r="F56" s="9" t="s">
        <v>25</v>
      </c>
      <c r="G56" s="8">
        <v>20456</v>
      </c>
      <c r="H56" s="75">
        <f t="shared" si="8"/>
        <v>0</v>
      </c>
      <c r="I56" s="41">
        <f t="shared" si="12"/>
        <v>38431</v>
      </c>
      <c r="J56" s="11" t="s">
        <v>26</v>
      </c>
      <c r="K56" s="10"/>
      <c r="L56" s="30" t="str">
        <f t="shared" si="9"/>
        <v/>
      </c>
      <c r="M56" s="43">
        <f t="shared" si="13"/>
        <v>38462</v>
      </c>
      <c r="N56" s="13">
        <v>0.77083333333333337</v>
      </c>
      <c r="O56" s="12"/>
      <c r="P56" s="23" t="str">
        <f t="shared" si="10"/>
        <v/>
      </c>
      <c r="R56" s="72"/>
    </row>
    <row r="57" spans="1:18" x14ac:dyDescent="0.2">
      <c r="A57" s="1"/>
      <c r="B57" s="2"/>
      <c r="C57" s="3"/>
      <c r="D57" s="3"/>
      <c r="E57" s="38">
        <f t="shared" si="11"/>
        <v>38404</v>
      </c>
      <c r="F57" s="9" t="s">
        <v>26</v>
      </c>
      <c r="G57" s="8">
        <v>20456</v>
      </c>
      <c r="H57" s="75">
        <f t="shared" si="8"/>
        <v>0</v>
      </c>
      <c r="I57" s="41">
        <f t="shared" si="12"/>
        <v>38432</v>
      </c>
      <c r="J57" s="11">
        <v>0.77083333333333337</v>
      </c>
      <c r="K57" s="10"/>
      <c r="L57" s="30" t="str">
        <f t="shared" si="9"/>
        <v/>
      </c>
      <c r="M57" s="43">
        <f t="shared" si="13"/>
        <v>38463</v>
      </c>
      <c r="N57" s="13">
        <v>0.77083333333333337</v>
      </c>
      <c r="O57" s="12"/>
      <c r="P57" s="23" t="str">
        <f t="shared" si="10"/>
        <v/>
      </c>
      <c r="R57" s="72"/>
    </row>
    <row r="58" spans="1:18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38405</v>
      </c>
      <c r="F58" s="9">
        <v>0.77083333333333337</v>
      </c>
      <c r="G58" s="8">
        <v>20456</v>
      </c>
      <c r="H58" s="75">
        <f t="shared" si="8"/>
        <v>0</v>
      </c>
      <c r="I58" s="41">
        <f t="shared" si="12"/>
        <v>38433</v>
      </c>
      <c r="J58" s="11">
        <v>0.77083333333333337</v>
      </c>
      <c r="K58" s="10"/>
      <c r="L58" s="30" t="str">
        <f t="shared" si="9"/>
        <v/>
      </c>
      <c r="M58" s="43">
        <f t="shared" si="13"/>
        <v>38464</v>
      </c>
      <c r="N58" s="13">
        <v>0.77083333333333337</v>
      </c>
      <c r="O58" s="12"/>
      <c r="P58" s="23" t="str">
        <f t="shared" si="10"/>
        <v/>
      </c>
      <c r="R58" s="72"/>
    </row>
    <row r="59" spans="1:18" x14ac:dyDescent="0.2">
      <c r="A59" s="1" t="s">
        <v>304</v>
      </c>
      <c r="B59" s="26">
        <v>0.17499999999999999</v>
      </c>
      <c r="C59" s="3"/>
      <c r="D59" s="3"/>
      <c r="E59" s="38">
        <f t="shared" si="11"/>
        <v>38406</v>
      </c>
      <c r="F59" s="9">
        <v>0.77083333333333337</v>
      </c>
      <c r="G59" s="8">
        <v>20456</v>
      </c>
      <c r="H59" s="75">
        <f t="shared" si="8"/>
        <v>0</v>
      </c>
      <c r="I59" s="41">
        <f t="shared" si="12"/>
        <v>38434</v>
      </c>
      <c r="J59" s="11">
        <v>0.77083333333333337</v>
      </c>
      <c r="K59" s="10"/>
      <c r="L59" s="30" t="str">
        <f t="shared" si="9"/>
        <v/>
      </c>
      <c r="M59" s="43">
        <f t="shared" si="13"/>
        <v>38465</v>
      </c>
      <c r="N59" s="13" t="s">
        <v>25</v>
      </c>
      <c r="O59" s="12"/>
      <c r="P59" s="23" t="str">
        <f t="shared" si="10"/>
        <v/>
      </c>
      <c r="R59" s="72"/>
    </row>
    <row r="60" spans="1:18" x14ac:dyDescent="0.2">
      <c r="A60" s="1" t="s">
        <v>305</v>
      </c>
      <c r="B60" s="26">
        <v>0.17</v>
      </c>
      <c r="C60" s="3"/>
      <c r="D60" s="3"/>
      <c r="E60" s="38">
        <f t="shared" si="11"/>
        <v>38407</v>
      </c>
      <c r="F60" s="9">
        <v>0.77083333333333337</v>
      </c>
      <c r="G60" s="8">
        <v>20456</v>
      </c>
      <c r="H60" s="75">
        <f t="shared" si="8"/>
        <v>0</v>
      </c>
      <c r="I60" s="41">
        <f t="shared" si="12"/>
        <v>38435</v>
      </c>
      <c r="J60" s="11">
        <v>0.77083333333333337</v>
      </c>
      <c r="K60" s="10"/>
      <c r="L60" s="30" t="str">
        <f t="shared" si="9"/>
        <v/>
      </c>
      <c r="M60" s="43">
        <f t="shared" si="13"/>
        <v>38466</v>
      </c>
      <c r="N60" s="13" t="s">
        <v>26</v>
      </c>
      <c r="O60" s="12"/>
      <c r="P60" s="23" t="str">
        <f t="shared" si="10"/>
        <v/>
      </c>
      <c r="R60" s="72"/>
    </row>
    <row r="61" spans="1:18" x14ac:dyDescent="0.2">
      <c r="A61" s="1"/>
      <c r="B61" s="2"/>
      <c r="C61" s="3"/>
      <c r="D61" s="3"/>
      <c r="E61" s="38">
        <f t="shared" si="11"/>
        <v>38408</v>
      </c>
      <c r="F61" s="9">
        <v>0.77083333333333337</v>
      </c>
      <c r="G61" s="8">
        <v>20456</v>
      </c>
      <c r="H61" s="75">
        <f t="shared" si="8"/>
        <v>0</v>
      </c>
      <c r="I61" s="41">
        <f t="shared" si="12"/>
        <v>38436</v>
      </c>
      <c r="J61" s="11">
        <v>0.77083333333333337</v>
      </c>
      <c r="K61" s="10"/>
      <c r="L61" s="30" t="str">
        <f t="shared" si="9"/>
        <v/>
      </c>
      <c r="M61" s="43">
        <f t="shared" si="13"/>
        <v>38467</v>
      </c>
      <c r="N61" s="13">
        <v>0.77083333333333337</v>
      </c>
      <c r="O61" s="12"/>
      <c r="P61" s="23" t="str">
        <f t="shared" si="10"/>
        <v/>
      </c>
      <c r="R61" s="72"/>
    </row>
    <row r="62" spans="1:18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38409</v>
      </c>
      <c r="F62" s="9">
        <v>0.77083333333333337</v>
      </c>
      <c r="G62" s="8">
        <v>20456</v>
      </c>
      <c r="H62" s="75">
        <f>IF(AND(H61&lt;&gt;"",G62&lt;&gt;""),G62-G61,"")</f>
        <v>0</v>
      </c>
      <c r="I62" s="41">
        <v>38802</v>
      </c>
      <c r="J62" s="11" t="s">
        <v>25</v>
      </c>
      <c r="K62" s="10"/>
      <c r="L62" s="30" t="str">
        <f t="shared" si="9"/>
        <v/>
      </c>
      <c r="M62" s="43">
        <f t="shared" si="13"/>
        <v>38468</v>
      </c>
      <c r="N62" s="13">
        <v>0.77083333333333337</v>
      </c>
      <c r="O62" s="12"/>
      <c r="P62" s="23" t="str">
        <f t="shared" si="10"/>
        <v/>
      </c>
      <c r="R62" s="72"/>
    </row>
    <row r="63" spans="1:18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38410</v>
      </c>
      <c r="F63" s="9" t="s">
        <v>25</v>
      </c>
      <c r="G63" s="8">
        <v>20456</v>
      </c>
      <c r="H63" s="75">
        <f>IF(AND(H62&lt;&gt;"",G63&lt;&gt;""),G63-G62,"")</f>
        <v>0</v>
      </c>
      <c r="I63" s="41">
        <v>38803</v>
      </c>
      <c r="J63" s="11" t="s">
        <v>26</v>
      </c>
      <c r="K63" s="10"/>
      <c r="L63" s="30" t="str">
        <f t="shared" si="9"/>
        <v/>
      </c>
      <c r="M63" s="43">
        <f t="shared" si="13"/>
        <v>38469</v>
      </c>
      <c r="N63" s="13">
        <v>0.77083333333333337</v>
      </c>
      <c r="O63" s="12"/>
      <c r="P63" s="23" t="str">
        <f t="shared" si="10"/>
        <v/>
      </c>
      <c r="R63" s="72"/>
    </row>
    <row r="64" spans="1:18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38411</v>
      </c>
      <c r="F64" s="9" t="s">
        <v>26</v>
      </c>
      <c r="G64" s="8">
        <v>20456</v>
      </c>
      <c r="H64" s="75">
        <f>IF(AND(H63&lt;&gt;"",G64&lt;&gt;""),G64-G63,"")</f>
        <v>0</v>
      </c>
      <c r="I64" s="41">
        <v>38804</v>
      </c>
      <c r="J64" s="11">
        <v>0.77083333333333337</v>
      </c>
      <c r="K64" s="10"/>
      <c r="L64" s="30" t="str">
        <f t="shared" si="9"/>
        <v/>
      </c>
      <c r="M64" s="43">
        <f t="shared" si="13"/>
        <v>38470</v>
      </c>
      <c r="N64" s="13">
        <v>0.77083333333333337</v>
      </c>
      <c r="O64" s="12"/>
      <c r="P64" s="23" t="str">
        <f t="shared" si="10"/>
        <v/>
      </c>
      <c r="R64" s="72"/>
    </row>
    <row r="65" spans="1:18" x14ac:dyDescent="0.2">
      <c r="A65" s="1" t="s">
        <v>91</v>
      </c>
      <c r="B65" s="26">
        <v>0</v>
      </c>
      <c r="C65" s="3" t="s">
        <v>86</v>
      </c>
      <c r="D65" s="3"/>
      <c r="E65" s="38" t="s">
        <v>204</v>
      </c>
      <c r="F65" s="9">
        <v>0.77083333333333337</v>
      </c>
      <c r="G65" s="8">
        <v>20456</v>
      </c>
      <c r="H65" s="75">
        <f>IF(AND(H64&lt;&gt;"",G65&lt;&gt;""),G65-G64,"")</f>
        <v>0</v>
      </c>
      <c r="I65" s="41">
        <v>38805</v>
      </c>
      <c r="J65" s="11">
        <v>0.77083333333333337</v>
      </c>
      <c r="K65" s="10"/>
      <c r="L65" s="30" t="str">
        <f t="shared" si="9"/>
        <v/>
      </c>
      <c r="M65" s="43">
        <f t="shared" si="13"/>
        <v>38471</v>
      </c>
      <c r="N65" s="13">
        <v>0.77083333333333337</v>
      </c>
      <c r="O65" s="12"/>
      <c r="P65" s="23" t="str">
        <f t="shared" si="10"/>
        <v/>
      </c>
      <c r="R65" s="72"/>
    </row>
    <row r="66" spans="1:18" x14ac:dyDescent="0.2">
      <c r="A66" s="1"/>
      <c r="B66" s="2"/>
      <c r="C66" s="3"/>
      <c r="D66" s="3"/>
      <c r="E66" s="38"/>
      <c r="F66" s="8"/>
      <c r="G66" s="8"/>
      <c r="H66" s="75" t="str">
        <f>IF(AND(H60&lt;&gt;"",G66&lt;&gt;""),G66-G60,"")</f>
        <v/>
      </c>
      <c r="I66" s="41">
        <v>38806</v>
      </c>
      <c r="J66" s="11">
        <v>0.77083333333333337</v>
      </c>
      <c r="K66" s="10"/>
      <c r="L66" s="30" t="str">
        <f t="shared" si="9"/>
        <v/>
      </c>
      <c r="M66" s="43">
        <f t="shared" si="13"/>
        <v>38472</v>
      </c>
      <c r="N66" s="13">
        <v>0.77083333333333337</v>
      </c>
      <c r="O66" s="12"/>
      <c r="P66" s="23" t="str">
        <f t="shared" si="10"/>
        <v/>
      </c>
      <c r="R66" s="72"/>
    </row>
    <row r="67" spans="1:18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38807</v>
      </c>
      <c r="J67" s="11">
        <v>0.77083333333333337</v>
      </c>
      <c r="K67" s="10"/>
      <c r="L67" s="30" t="str">
        <f t="shared" si="9"/>
        <v/>
      </c>
      <c r="M67" s="43"/>
      <c r="N67" s="12"/>
      <c r="O67" s="12"/>
      <c r="P67" s="23" t="str">
        <f>IF(AND(P61&lt;&gt;"",O67&lt;&gt;""),O67-O61,"")</f>
        <v/>
      </c>
      <c r="R67" s="72"/>
    </row>
    <row r="68" spans="1:18" ht="13.5" thickBot="1" x14ac:dyDescent="0.25">
      <c r="A68" s="1" t="s">
        <v>194</v>
      </c>
      <c r="B68" s="102">
        <v>1.0213190000000001</v>
      </c>
      <c r="E68" s="39"/>
      <c r="F68" s="25"/>
      <c r="G68" s="16"/>
      <c r="H68" s="77" t="str">
        <f>IF(AND(H67&lt;&gt;"",G68&lt;&gt;""),G68-G67,"")</f>
        <v/>
      </c>
      <c r="I68" s="42"/>
      <c r="J68" s="28"/>
      <c r="K68" s="17"/>
      <c r="L68" s="31" t="str">
        <f t="shared" si="9"/>
        <v/>
      </c>
      <c r="M68" s="44"/>
      <c r="N68" s="18"/>
      <c r="O68" s="18"/>
      <c r="P68" s="24" t="str">
        <f>IF(AND(P67&lt;&gt;"",O68&lt;&gt;""),O68-O67,"")</f>
        <v/>
      </c>
      <c r="R68" s="72"/>
    </row>
    <row r="69" spans="1:18" ht="13.5" thickTop="1" x14ac:dyDescent="0.2">
      <c r="R69" s="72"/>
    </row>
    <row r="70" spans="1:18" x14ac:dyDescent="0.2">
      <c r="A70" s="72" t="s">
        <v>24</v>
      </c>
      <c r="B70" s="55">
        <f ca="1">B1</f>
        <v>266.26148678418554</v>
      </c>
    </row>
  </sheetData>
  <mergeCells count="5">
    <mergeCell ref="C4:D4"/>
    <mergeCell ref="C5:D5"/>
    <mergeCell ref="C6:D6"/>
    <mergeCell ref="C7:D7"/>
    <mergeCell ref="C9:D9"/>
  </mergeCells>
  <conditionalFormatting sqref="P3">
    <cfRule type="cellIs" dxfId="102" priority="12" stopIfTrue="1" operator="lessThan">
      <formula>0</formula>
    </cfRule>
    <cfRule type="cellIs" dxfId="101" priority="13" stopIfTrue="1" operator="lessThan">
      <formula>0</formula>
    </cfRule>
  </conditionalFormatting>
  <conditionalFormatting sqref="L37">
    <cfRule type="cellIs" dxfId="100" priority="11" stopIfTrue="1" operator="lessThan">
      <formula>0</formula>
    </cfRule>
  </conditionalFormatting>
  <conditionalFormatting sqref="H37">
    <cfRule type="cellIs" dxfId="99" priority="10" stopIfTrue="1" operator="lessThan">
      <formula>0</formula>
    </cfRule>
  </conditionalFormatting>
  <conditionalFormatting sqref="P37">
    <cfRule type="cellIs" dxfId="98" priority="9" stopIfTrue="1" operator="lessThan">
      <formula>0</formula>
    </cfRule>
  </conditionalFormatting>
  <conditionalFormatting sqref="B28">
    <cfRule type="cellIs" dxfId="97" priority="8" stopIfTrue="1" operator="greaterThan">
      <formula>366</formula>
    </cfRule>
  </conditionalFormatting>
  <conditionalFormatting sqref="B43:B45 B30:B41">
    <cfRule type="cellIs" dxfId="96" priority="6" stopIfTrue="1" operator="greaterThan">
      <formula>366</formula>
    </cfRule>
    <cfRule type="cellIs" dxfId="95" priority="7" stopIfTrue="1" operator="greaterThan">
      <formula>40472</formula>
    </cfRule>
  </conditionalFormatting>
  <conditionalFormatting sqref="B1">
    <cfRule type="containsText" dxfId="94" priority="5" stopIfTrue="1" operator="containsText" text="#VALORE!">
      <formula>NOT(ISERROR(SEARCH("#VALORE!",B1)))</formula>
    </cfRule>
  </conditionalFormatting>
  <conditionalFormatting sqref="R8">
    <cfRule type="cellIs" dxfId="93" priority="4" operator="lessThan">
      <formula>0</formula>
    </cfRule>
  </conditionalFormatting>
  <conditionalFormatting sqref="R10">
    <cfRule type="cellIs" dxfId="92" priority="3" operator="lessThan">
      <formula>0</formula>
    </cfRule>
  </conditionalFormatting>
  <conditionalFormatting sqref="R12">
    <cfRule type="cellIs" dxfId="91" priority="2" operator="lessThan">
      <formula>0</formula>
    </cfRule>
  </conditionalFormatting>
  <conditionalFormatting sqref="R14">
    <cfRule type="cellIs" dxfId="9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opLeftCell="A43" workbookViewId="0">
      <selection activeCell="J48" sqref="J48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8" ht="13.5" thickTop="1" x14ac:dyDescent="0.2">
      <c r="A1" s="1" t="s">
        <v>24</v>
      </c>
      <c r="B1" s="55">
        <f ca="1">IF(D51="",D52,D51+D52)</f>
        <v>349.5901788327746</v>
      </c>
      <c r="C1" s="3"/>
      <c r="D1" s="3"/>
      <c r="E1" s="37" t="s">
        <v>19</v>
      </c>
      <c r="F1" s="19" t="s">
        <v>10</v>
      </c>
      <c r="G1" s="19" t="s">
        <v>9</v>
      </c>
      <c r="H1" s="74" t="s">
        <v>11</v>
      </c>
      <c r="I1" s="45" t="s">
        <v>20</v>
      </c>
      <c r="J1" s="35" t="s">
        <v>10</v>
      </c>
      <c r="K1" s="20" t="s">
        <v>9</v>
      </c>
      <c r="L1" s="50" t="s">
        <v>11</v>
      </c>
      <c r="M1" s="48" t="s">
        <v>12</v>
      </c>
      <c r="N1" s="21" t="s">
        <v>10</v>
      </c>
      <c r="O1" s="21" t="s">
        <v>9</v>
      </c>
      <c r="P1" s="22" t="s">
        <v>11</v>
      </c>
      <c r="R1" s="122" t="s">
        <v>371</v>
      </c>
    </row>
    <row r="2" spans="1:18" x14ac:dyDescent="0.2">
      <c r="A2" s="1" t="s">
        <v>376</v>
      </c>
      <c r="B2" s="26"/>
      <c r="C2" s="3"/>
      <c r="D2" s="3"/>
      <c r="E2" s="38"/>
      <c r="F2" s="8"/>
      <c r="G2" s="8"/>
      <c r="H2" s="75"/>
      <c r="I2" s="46"/>
      <c r="J2" s="11"/>
      <c r="K2" s="10"/>
      <c r="L2" s="30"/>
      <c r="M2" s="49"/>
      <c r="N2" s="12"/>
      <c r="O2" s="12"/>
      <c r="P2" s="23"/>
      <c r="R2" s="72"/>
    </row>
    <row r="3" spans="1:18" x14ac:dyDescent="0.2">
      <c r="A3" s="1"/>
      <c r="B3" s="2"/>
      <c r="C3" s="3"/>
      <c r="D3" s="3"/>
      <c r="E3" s="38">
        <v>39387</v>
      </c>
      <c r="F3" s="9">
        <v>0.77083333333333337</v>
      </c>
      <c r="G3" s="8">
        <v>20140</v>
      </c>
      <c r="H3" s="76">
        <f>IF(G3-B16&lt;0,0,0)</f>
        <v>0</v>
      </c>
      <c r="I3" s="46">
        <v>38687</v>
      </c>
      <c r="J3" s="11" t="s">
        <v>26</v>
      </c>
      <c r="K3" s="10">
        <v>20153</v>
      </c>
      <c r="L3" s="30">
        <f>IF(AND(H34&lt;&gt;"",K3&lt;&gt;""),K3-K2,K3-MAX(G3:G34))</f>
        <v>0</v>
      </c>
      <c r="M3" s="43">
        <v>38353</v>
      </c>
      <c r="N3" s="13" t="s">
        <v>33</v>
      </c>
      <c r="O3" s="12">
        <v>20188</v>
      </c>
      <c r="P3" s="23">
        <f>IF(AND(L34&lt;&gt;"",O3&lt;&gt;""),O3-O2,O3-MAX(K3:K33))</f>
        <v>0</v>
      </c>
      <c r="R3" s="123" t="s">
        <v>19</v>
      </c>
    </row>
    <row r="4" spans="1:18" x14ac:dyDescent="0.2">
      <c r="A4" s="1" t="s">
        <v>377</v>
      </c>
      <c r="B4" s="26">
        <v>53.62</v>
      </c>
      <c r="C4" s="129" t="s">
        <v>360</v>
      </c>
      <c r="D4" s="130"/>
      <c r="E4" s="38">
        <f>E3+1</f>
        <v>39388</v>
      </c>
      <c r="F4" s="9" t="s">
        <v>25</v>
      </c>
      <c r="G4" s="8">
        <v>20140</v>
      </c>
      <c r="H4" s="75">
        <f t="shared" ref="H4:H34" si="0">IF(AND(H3&lt;&gt;"",G4&lt;&gt;""),G4-G3,"")</f>
        <v>0</v>
      </c>
      <c r="I4" s="41">
        <f>I3+1</f>
        <v>38688</v>
      </c>
      <c r="J4" s="11">
        <v>0.77083333333333337</v>
      </c>
      <c r="K4" s="10">
        <v>20154</v>
      </c>
      <c r="L4" s="30">
        <f>IF(AND(L3&lt;&gt;"",K4&lt;&gt;""),K4-K3,"")</f>
        <v>1</v>
      </c>
      <c r="M4" s="43">
        <f>M3+1</f>
        <v>38354</v>
      </c>
      <c r="N4" s="13" t="s">
        <v>290</v>
      </c>
      <c r="O4" s="12">
        <v>20189</v>
      </c>
      <c r="P4" s="23">
        <f>IF(AND(P3&lt;&gt;"",O4&lt;&gt;""),O4-O3,"")</f>
        <v>1</v>
      </c>
      <c r="R4" s="124">
        <f>SUM(H3:H32)</f>
        <v>13</v>
      </c>
    </row>
    <row r="5" spans="1:18" x14ac:dyDescent="0.2">
      <c r="A5" s="1" t="s">
        <v>378</v>
      </c>
      <c r="B5" s="26">
        <v>47.47</v>
      </c>
      <c r="C5" s="131" t="s">
        <v>360</v>
      </c>
      <c r="D5" s="132"/>
      <c r="E5" s="38">
        <f t="shared" ref="E5:E32" si="1">E4+1</f>
        <v>39389</v>
      </c>
      <c r="F5" s="9" t="s">
        <v>26</v>
      </c>
      <c r="G5" s="8">
        <v>20140</v>
      </c>
      <c r="H5" s="75">
        <f t="shared" si="0"/>
        <v>0</v>
      </c>
      <c r="I5" s="41">
        <f t="shared" ref="I5:I28" si="2">I4+1</f>
        <v>38689</v>
      </c>
      <c r="J5" s="11">
        <v>0.77083333333333337</v>
      </c>
      <c r="K5" s="10">
        <v>20156</v>
      </c>
      <c r="L5" s="30">
        <f>IF(AND(L4&lt;&gt;"",K5&lt;&gt;""),K5-K4,"")</f>
        <v>2</v>
      </c>
      <c r="M5" s="43">
        <f t="shared" ref="M5:M28" si="3">M4+1</f>
        <v>38355</v>
      </c>
      <c r="N5" s="13" t="s">
        <v>290</v>
      </c>
      <c r="O5" s="12">
        <v>20192</v>
      </c>
      <c r="P5" s="23">
        <f t="shared" ref="P5:P34" si="4">IF(AND(P4&lt;&gt;"",O5&lt;&gt;""),O5-O4,"")</f>
        <v>3</v>
      </c>
      <c r="R5" s="123" t="s">
        <v>20</v>
      </c>
    </row>
    <row r="6" spans="1:18" x14ac:dyDescent="0.2">
      <c r="A6" s="1" t="s">
        <v>381</v>
      </c>
      <c r="B6" s="26">
        <v>38.840000000000003</v>
      </c>
      <c r="C6" s="131" t="s">
        <v>360</v>
      </c>
      <c r="D6" s="132"/>
      <c r="E6" s="38">
        <f t="shared" si="1"/>
        <v>39390</v>
      </c>
      <c r="F6" s="9">
        <v>0.77083333333333337</v>
      </c>
      <c r="G6" s="8">
        <v>20140</v>
      </c>
      <c r="H6" s="75">
        <f t="shared" si="0"/>
        <v>0</v>
      </c>
      <c r="I6" s="41">
        <f t="shared" si="2"/>
        <v>38690</v>
      </c>
      <c r="J6" s="11">
        <v>0.77083333333333337</v>
      </c>
      <c r="K6" s="10">
        <v>20158</v>
      </c>
      <c r="L6" s="30">
        <f>IF(AND(L5&lt;&gt;"",K6&lt;&gt;""),K6-K5,"")</f>
        <v>2</v>
      </c>
      <c r="M6" s="43">
        <f t="shared" si="3"/>
        <v>38356</v>
      </c>
      <c r="N6" s="13" t="s">
        <v>25</v>
      </c>
      <c r="O6" s="12">
        <v>20192</v>
      </c>
      <c r="P6" s="23">
        <f t="shared" si="4"/>
        <v>0</v>
      </c>
      <c r="R6" s="72">
        <f>SUM(L3:L33)</f>
        <v>35</v>
      </c>
    </row>
    <row r="7" spans="1:18" x14ac:dyDescent="0.2">
      <c r="A7" s="1" t="s">
        <v>373</v>
      </c>
      <c r="B7" s="26">
        <v>0</v>
      </c>
      <c r="C7" s="133" t="s">
        <v>382</v>
      </c>
      <c r="D7" s="133"/>
      <c r="E7" s="38">
        <f t="shared" si="1"/>
        <v>39391</v>
      </c>
      <c r="F7" s="9">
        <v>0.77083333333333337</v>
      </c>
      <c r="G7" s="8">
        <v>20140</v>
      </c>
      <c r="H7" s="75">
        <f t="shared" si="0"/>
        <v>0</v>
      </c>
      <c r="I7" s="41">
        <f t="shared" si="2"/>
        <v>38691</v>
      </c>
      <c r="J7" s="11">
        <v>0.77083333333333337</v>
      </c>
      <c r="K7" s="10">
        <v>20159</v>
      </c>
      <c r="L7" s="30">
        <f>IF(AND(L6&lt;&gt;"",K7&lt;&gt;""),K7-K6,"")</f>
        <v>1</v>
      </c>
      <c r="M7" s="43">
        <f t="shared" si="3"/>
        <v>38357</v>
      </c>
      <c r="N7" s="13" t="s">
        <v>26</v>
      </c>
      <c r="O7" s="12">
        <v>20192</v>
      </c>
      <c r="P7" s="23">
        <f t="shared" si="4"/>
        <v>0</v>
      </c>
      <c r="R7" s="123" t="s">
        <v>12</v>
      </c>
    </row>
    <row r="8" spans="1:18" x14ac:dyDescent="0.2">
      <c r="A8" s="1" t="s">
        <v>375</v>
      </c>
      <c r="B8" s="26">
        <v>0</v>
      </c>
      <c r="E8" s="38">
        <f t="shared" si="1"/>
        <v>39392</v>
      </c>
      <c r="F8" s="9">
        <v>0.77083333333333337</v>
      </c>
      <c r="G8" s="8">
        <v>20140</v>
      </c>
      <c r="H8" s="75">
        <f t="shared" si="0"/>
        <v>0</v>
      </c>
      <c r="I8" s="41">
        <f t="shared" si="2"/>
        <v>38692</v>
      </c>
      <c r="J8" s="11">
        <v>0.77083333333333337</v>
      </c>
      <c r="K8" s="10">
        <v>20161</v>
      </c>
      <c r="L8" s="30">
        <f>IF(AND(L7&lt;&gt;"",K8&lt;&gt;""),K8-K7,"")</f>
        <v>2</v>
      </c>
      <c r="M8" s="43">
        <f t="shared" si="3"/>
        <v>38358</v>
      </c>
      <c r="N8" s="13" t="s">
        <v>83</v>
      </c>
      <c r="O8" s="12">
        <v>20192</v>
      </c>
      <c r="P8" s="23">
        <f t="shared" si="4"/>
        <v>0</v>
      </c>
      <c r="R8" s="72">
        <f>SUM(P3:P33)</f>
        <v>57</v>
      </c>
    </row>
    <row r="9" spans="1:18" x14ac:dyDescent="0.2">
      <c r="A9" s="1" t="s">
        <v>374</v>
      </c>
      <c r="B9" s="26">
        <v>0</v>
      </c>
      <c r="C9" s="128"/>
      <c r="D9" s="128"/>
      <c r="E9" s="38">
        <f t="shared" si="1"/>
        <v>39393</v>
      </c>
      <c r="F9" s="9">
        <v>0.77083333333333337</v>
      </c>
      <c r="G9" s="8">
        <v>20140</v>
      </c>
      <c r="H9" s="75">
        <f t="shared" si="0"/>
        <v>0</v>
      </c>
      <c r="I9" s="41">
        <f t="shared" si="2"/>
        <v>38693</v>
      </c>
      <c r="J9" s="11" t="s">
        <v>25</v>
      </c>
      <c r="K9" s="10">
        <v>20161</v>
      </c>
      <c r="L9" s="30">
        <f t="shared" ref="L9:L34" si="5">IF(AND(L8&lt;&gt;"",K9&lt;&gt;""),K9-K8,"")</f>
        <v>0</v>
      </c>
      <c r="M9" s="43">
        <f t="shared" si="3"/>
        <v>38359</v>
      </c>
      <c r="N9" s="13" t="s">
        <v>290</v>
      </c>
      <c r="O9" s="12">
        <v>20196</v>
      </c>
      <c r="P9" s="23">
        <f t="shared" si="4"/>
        <v>4</v>
      </c>
      <c r="R9" s="123" t="s">
        <v>13</v>
      </c>
    </row>
    <row r="10" spans="1:18" x14ac:dyDescent="0.2">
      <c r="A10" s="63" t="s">
        <v>361</v>
      </c>
      <c r="B10" s="64">
        <f>SUM(B4:B9)</f>
        <v>139.93</v>
      </c>
      <c r="C10" s="3"/>
      <c r="D10" s="3"/>
      <c r="E10" s="38">
        <f t="shared" si="1"/>
        <v>39394</v>
      </c>
      <c r="F10" s="9">
        <v>0.77083333333333337</v>
      </c>
      <c r="G10" s="8">
        <v>20140</v>
      </c>
      <c r="H10" s="75">
        <f t="shared" si="0"/>
        <v>0</v>
      </c>
      <c r="I10" s="41">
        <f t="shared" si="2"/>
        <v>38694</v>
      </c>
      <c r="J10" s="11" t="s">
        <v>26</v>
      </c>
      <c r="K10" s="10">
        <v>20161</v>
      </c>
      <c r="L10" s="30">
        <f t="shared" si="5"/>
        <v>0</v>
      </c>
      <c r="M10" s="43">
        <f t="shared" si="3"/>
        <v>38360</v>
      </c>
      <c r="N10" s="13" t="s">
        <v>290</v>
      </c>
      <c r="O10" s="12">
        <v>20199</v>
      </c>
      <c r="P10" s="23">
        <f t="shared" si="4"/>
        <v>3</v>
      </c>
      <c r="R10" s="72">
        <f>SUM(H37:H65)</f>
        <v>39</v>
      </c>
    </row>
    <row r="11" spans="1:18" x14ac:dyDescent="0.2">
      <c r="E11" s="38">
        <f t="shared" si="1"/>
        <v>39395</v>
      </c>
      <c r="F11" s="9" t="s">
        <v>25</v>
      </c>
      <c r="G11" s="8">
        <v>20140</v>
      </c>
      <c r="H11" s="75">
        <f t="shared" si="0"/>
        <v>0</v>
      </c>
      <c r="I11" s="41">
        <f t="shared" si="2"/>
        <v>38695</v>
      </c>
      <c r="J11" s="11">
        <v>0.77083333333333337</v>
      </c>
      <c r="K11" s="10">
        <v>20162</v>
      </c>
      <c r="L11" s="30">
        <f t="shared" si="5"/>
        <v>1</v>
      </c>
      <c r="M11" s="43">
        <f t="shared" si="3"/>
        <v>38361</v>
      </c>
      <c r="N11" s="13" t="s">
        <v>290</v>
      </c>
      <c r="O11" s="12">
        <v>20201</v>
      </c>
      <c r="P11" s="23">
        <f t="shared" si="4"/>
        <v>2</v>
      </c>
      <c r="R11" s="123" t="s">
        <v>14</v>
      </c>
    </row>
    <row r="12" spans="1:18" x14ac:dyDescent="0.2">
      <c r="A12" s="1" t="s">
        <v>383</v>
      </c>
      <c r="B12" s="27">
        <f>(MAX(G2:G32,K3:K33,O3:O33,G37:G64,K37:K67,O37:O66)-MIN(G3,G34))</f>
        <v>158</v>
      </c>
      <c r="C12" s="3"/>
      <c r="D12" s="3"/>
      <c r="E12" s="38">
        <f t="shared" si="1"/>
        <v>39396</v>
      </c>
      <c r="F12" s="9" t="s">
        <v>26</v>
      </c>
      <c r="G12" s="8">
        <v>20140</v>
      </c>
      <c r="H12" s="75">
        <f t="shared" si="0"/>
        <v>0</v>
      </c>
      <c r="I12" s="41">
        <f t="shared" si="2"/>
        <v>38696</v>
      </c>
      <c r="J12" s="11">
        <v>0.77083333333333337</v>
      </c>
      <c r="K12" s="10">
        <v>20164</v>
      </c>
      <c r="L12" s="30">
        <f t="shared" si="5"/>
        <v>2</v>
      </c>
      <c r="M12" s="43">
        <f t="shared" si="3"/>
        <v>38362</v>
      </c>
      <c r="N12" s="13" t="s">
        <v>290</v>
      </c>
      <c r="O12" s="12">
        <v>20204</v>
      </c>
      <c r="P12" s="23">
        <f>IF(AND(P11&lt;&gt;"",O12&lt;&gt;""),O12-O11,"")</f>
        <v>3</v>
      </c>
      <c r="R12" s="72">
        <f>IF(H64="",0,SUM(L37:L67))</f>
        <v>14</v>
      </c>
    </row>
    <row r="13" spans="1:18" x14ac:dyDescent="0.2">
      <c r="A13" s="1" t="s">
        <v>363</v>
      </c>
      <c r="B13" s="2">
        <f>(MAX(G3:G32,K3:K33)-'1819'!O4)*B68</f>
        <v>170.56027300000002</v>
      </c>
      <c r="C13" s="118" t="s">
        <v>205</v>
      </c>
      <c r="D13" s="119"/>
      <c r="E13" s="38">
        <f t="shared" si="1"/>
        <v>39397</v>
      </c>
      <c r="F13" s="9">
        <v>0.77083333333333337</v>
      </c>
      <c r="G13" s="8">
        <v>20140</v>
      </c>
      <c r="H13" s="75">
        <f t="shared" si="0"/>
        <v>0</v>
      </c>
      <c r="I13" s="41">
        <f t="shared" si="2"/>
        <v>38697</v>
      </c>
      <c r="J13" s="11">
        <v>0.77083333333333337</v>
      </c>
      <c r="K13" s="10">
        <v>20166</v>
      </c>
      <c r="L13" s="30">
        <f t="shared" si="5"/>
        <v>2</v>
      </c>
      <c r="M13" s="43">
        <f t="shared" si="3"/>
        <v>38363</v>
      </c>
      <c r="N13" s="13" t="s">
        <v>25</v>
      </c>
      <c r="O13" s="12">
        <v>20204</v>
      </c>
      <c r="P13" s="23">
        <f t="shared" si="4"/>
        <v>0</v>
      </c>
      <c r="R13" s="123" t="s">
        <v>21</v>
      </c>
    </row>
    <row r="14" spans="1:18" x14ac:dyDescent="0.2">
      <c r="A14" s="1" t="s">
        <v>380</v>
      </c>
      <c r="B14" s="2">
        <f>IF(O3="",0,((MAX(O3:O33,G37:G67,K37:K67,O37:O67))-O3)*B68)</f>
        <v>112.34509000000001</v>
      </c>
      <c r="C14" s="3"/>
      <c r="D14" s="3"/>
      <c r="E14" s="38">
        <f t="shared" si="1"/>
        <v>39398</v>
      </c>
      <c r="F14" s="9">
        <v>0.77083333333333337</v>
      </c>
      <c r="G14" s="8">
        <v>20140</v>
      </c>
      <c r="H14" s="75">
        <f t="shared" si="0"/>
        <v>0</v>
      </c>
      <c r="I14" s="41">
        <f t="shared" si="2"/>
        <v>38698</v>
      </c>
      <c r="J14" s="11">
        <v>0.77083333333333337</v>
      </c>
      <c r="K14" s="10">
        <v>20167</v>
      </c>
      <c r="L14" s="30">
        <f t="shared" si="5"/>
        <v>1</v>
      </c>
      <c r="M14" s="43">
        <f t="shared" si="3"/>
        <v>38364</v>
      </c>
      <c r="N14" s="13" t="s">
        <v>26</v>
      </c>
      <c r="O14" s="12">
        <v>20204</v>
      </c>
      <c r="P14" s="23">
        <f t="shared" si="4"/>
        <v>0</v>
      </c>
      <c r="R14" s="72">
        <f>IF(H66="",0,SUM(L39:L69))</f>
        <v>0</v>
      </c>
    </row>
    <row r="15" spans="1:18" ht="13.5" thickBot="1" x14ac:dyDescent="0.25">
      <c r="C15" s="3"/>
      <c r="D15" s="3"/>
      <c r="E15" s="38">
        <f t="shared" si="1"/>
        <v>39399</v>
      </c>
      <c r="F15" s="9">
        <v>0.77083333333333337</v>
      </c>
      <c r="G15" s="8">
        <v>20140</v>
      </c>
      <c r="H15" s="75">
        <f t="shared" si="0"/>
        <v>0</v>
      </c>
      <c r="I15" s="41">
        <f t="shared" si="2"/>
        <v>38699</v>
      </c>
      <c r="J15" s="11">
        <v>0.77083333333333337</v>
      </c>
      <c r="K15" s="10">
        <v>20170</v>
      </c>
      <c r="L15" s="30">
        <f t="shared" si="5"/>
        <v>3</v>
      </c>
      <c r="M15" s="43">
        <f t="shared" si="3"/>
        <v>38365</v>
      </c>
      <c r="N15" s="13" t="s">
        <v>290</v>
      </c>
      <c r="O15" s="12">
        <v>20208</v>
      </c>
      <c r="P15" s="23">
        <f t="shared" si="4"/>
        <v>4</v>
      </c>
      <c r="R15" s="72"/>
    </row>
    <row r="16" spans="1:18" ht="14.25" thickTop="1" thickBot="1" x14ac:dyDescent="0.25">
      <c r="A16" s="1" t="s">
        <v>58</v>
      </c>
      <c r="B16" s="2">
        <v>20280</v>
      </c>
      <c r="C16" s="125" t="s">
        <v>360</v>
      </c>
      <c r="D16" s="105">
        <v>43770</v>
      </c>
      <c r="E16" s="38">
        <f t="shared" si="1"/>
        <v>39400</v>
      </c>
      <c r="F16" s="9">
        <v>0.77083333333333337</v>
      </c>
      <c r="G16" s="8">
        <v>20141</v>
      </c>
      <c r="H16" s="75">
        <f t="shared" si="0"/>
        <v>1</v>
      </c>
      <c r="I16" s="41">
        <f t="shared" si="2"/>
        <v>38700</v>
      </c>
      <c r="J16" s="11" t="s">
        <v>25</v>
      </c>
      <c r="K16" s="10">
        <v>20170</v>
      </c>
      <c r="L16" s="30">
        <f t="shared" si="5"/>
        <v>0</v>
      </c>
      <c r="M16" s="43">
        <f t="shared" si="3"/>
        <v>38366</v>
      </c>
      <c r="N16" s="13" t="s">
        <v>290</v>
      </c>
      <c r="O16" s="12">
        <v>20211</v>
      </c>
      <c r="P16" s="23">
        <f t="shared" si="4"/>
        <v>3</v>
      </c>
      <c r="R16" s="123" t="s">
        <v>372</v>
      </c>
    </row>
    <row r="17" spans="1:18" ht="13.5" thickTop="1" x14ac:dyDescent="0.2">
      <c r="A17" s="1" t="s">
        <v>369</v>
      </c>
      <c r="B17" s="2">
        <f>(B16-('1819'!O3))*B68</f>
        <v>20712.349320000001</v>
      </c>
      <c r="C17" s="118"/>
      <c r="D17" s="118"/>
      <c r="E17" s="38">
        <f t="shared" si="1"/>
        <v>39401</v>
      </c>
      <c r="F17" s="9">
        <v>0.77083333333333337</v>
      </c>
      <c r="G17" s="8">
        <v>20141</v>
      </c>
      <c r="H17" s="75">
        <f t="shared" si="0"/>
        <v>0</v>
      </c>
      <c r="I17" s="41">
        <f t="shared" si="2"/>
        <v>38701</v>
      </c>
      <c r="J17" s="11" t="s">
        <v>26</v>
      </c>
      <c r="K17" s="10">
        <v>20170</v>
      </c>
      <c r="L17" s="30">
        <f t="shared" si="5"/>
        <v>0</v>
      </c>
      <c r="M17" s="43">
        <f t="shared" si="3"/>
        <v>38367</v>
      </c>
      <c r="N17" s="13" t="s">
        <v>290</v>
      </c>
      <c r="O17" s="12">
        <v>20214</v>
      </c>
      <c r="P17" s="23">
        <f t="shared" si="4"/>
        <v>3</v>
      </c>
      <c r="R17" s="124">
        <f>R4+R6+R8+R10+R12+R14</f>
        <v>158</v>
      </c>
    </row>
    <row r="18" spans="1:18" x14ac:dyDescent="0.2">
      <c r="A18" s="1" t="s">
        <v>379</v>
      </c>
      <c r="B18" s="2">
        <f>IF(OR(O3&gt;B16,O3=""),0,B16-K33)</f>
        <v>92</v>
      </c>
      <c r="C18" s="3"/>
      <c r="D18" s="3"/>
      <c r="E18" s="38">
        <f t="shared" si="1"/>
        <v>39402</v>
      </c>
      <c r="F18" s="9" t="s">
        <v>25</v>
      </c>
      <c r="G18" s="8">
        <v>20141</v>
      </c>
      <c r="H18" s="75">
        <f t="shared" si="0"/>
        <v>0</v>
      </c>
      <c r="I18" s="41">
        <f t="shared" si="2"/>
        <v>38702</v>
      </c>
      <c r="J18" s="11">
        <v>0.77083333333333337</v>
      </c>
      <c r="K18" s="10">
        <v>20173</v>
      </c>
      <c r="L18" s="30">
        <f t="shared" si="5"/>
        <v>3</v>
      </c>
      <c r="M18" s="43">
        <f t="shared" si="3"/>
        <v>38368</v>
      </c>
      <c r="N18" s="13" t="s">
        <v>290</v>
      </c>
      <c r="O18" s="12">
        <v>20215</v>
      </c>
      <c r="P18" s="23">
        <f t="shared" si="4"/>
        <v>1</v>
      </c>
      <c r="R18" s="72"/>
    </row>
    <row r="19" spans="1:18" x14ac:dyDescent="0.2">
      <c r="E19" s="38">
        <f t="shared" si="1"/>
        <v>39403</v>
      </c>
      <c r="F19" s="9" t="s">
        <v>26</v>
      </c>
      <c r="G19" s="8">
        <v>20141</v>
      </c>
      <c r="H19" s="75">
        <f t="shared" si="0"/>
        <v>0</v>
      </c>
      <c r="I19" s="41">
        <f t="shared" si="2"/>
        <v>38703</v>
      </c>
      <c r="J19" s="11">
        <v>0.77083333333333337</v>
      </c>
      <c r="K19" s="10">
        <v>20175</v>
      </c>
      <c r="L19" s="30">
        <f t="shared" si="5"/>
        <v>2</v>
      </c>
      <c r="M19" s="43">
        <f t="shared" si="3"/>
        <v>38369</v>
      </c>
      <c r="N19" s="13" t="s">
        <v>290</v>
      </c>
      <c r="O19" s="12">
        <v>20218</v>
      </c>
      <c r="P19" s="23">
        <f t="shared" si="4"/>
        <v>3</v>
      </c>
      <c r="R19" s="72"/>
    </row>
    <row r="20" spans="1:18" x14ac:dyDescent="0.2">
      <c r="A20" s="1" t="s">
        <v>351</v>
      </c>
      <c r="B20" s="2">
        <f>IF(AND(B13&gt;480,B17&lt;480),480-B17,0)</f>
        <v>0</v>
      </c>
      <c r="C20" s="3"/>
      <c r="D20" s="3"/>
      <c r="E20" s="38">
        <f t="shared" si="1"/>
        <v>39404</v>
      </c>
      <c r="F20" s="9">
        <v>0.77083333333333337</v>
      </c>
      <c r="G20" s="8">
        <v>20143</v>
      </c>
      <c r="H20" s="75">
        <f t="shared" si="0"/>
        <v>2</v>
      </c>
      <c r="I20" s="41">
        <f t="shared" si="2"/>
        <v>38704</v>
      </c>
      <c r="J20" s="11">
        <v>0.77083333333333337</v>
      </c>
      <c r="K20" s="10">
        <v>20176</v>
      </c>
      <c r="L20" s="30">
        <f t="shared" si="5"/>
        <v>1</v>
      </c>
      <c r="M20" s="43">
        <f t="shared" si="3"/>
        <v>38370</v>
      </c>
      <c r="N20" s="13" t="s">
        <v>25</v>
      </c>
      <c r="O20" s="12">
        <v>20218</v>
      </c>
      <c r="P20" s="23">
        <f t="shared" si="4"/>
        <v>0</v>
      </c>
      <c r="R20" s="72"/>
    </row>
    <row r="21" spans="1:18" x14ac:dyDescent="0.2">
      <c r="A21" s="1" t="s">
        <v>352</v>
      </c>
      <c r="B21" s="2">
        <f>IF(AND(B14&gt;0,B18=0),(K33-B16-B20)*B68,120)</f>
        <v>120</v>
      </c>
      <c r="C21" s="3"/>
      <c r="D21" s="3"/>
      <c r="E21" s="38">
        <f t="shared" si="1"/>
        <v>39405</v>
      </c>
      <c r="F21" s="9">
        <v>0.77083333333333337</v>
      </c>
      <c r="G21" s="8">
        <v>20145</v>
      </c>
      <c r="H21" s="75">
        <f t="shared" si="0"/>
        <v>2</v>
      </c>
      <c r="I21" s="41">
        <f t="shared" si="2"/>
        <v>38705</v>
      </c>
      <c r="J21" s="11">
        <v>0.77083333333333337</v>
      </c>
      <c r="K21" s="10">
        <v>20177</v>
      </c>
      <c r="L21" s="30">
        <f t="shared" si="5"/>
        <v>1</v>
      </c>
      <c r="M21" s="43">
        <f t="shared" si="3"/>
        <v>38371</v>
      </c>
      <c r="N21" s="13" t="s">
        <v>26</v>
      </c>
      <c r="O21" s="12">
        <v>20218</v>
      </c>
      <c r="P21" s="23">
        <f t="shared" si="4"/>
        <v>0</v>
      </c>
      <c r="R21" s="72"/>
    </row>
    <row r="22" spans="1:18" x14ac:dyDescent="0.2">
      <c r="A22" s="1" t="s">
        <v>353</v>
      </c>
      <c r="B22" s="104"/>
      <c r="C22" s="104"/>
      <c r="E22" s="38">
        <f t="shared" si="1"/>
        <v>39406</v>
      </c>
      <c r="F22" s="9">
        <v>0.77083333333333337</v>
      </c>
      <c r="G22" s="8">
        <v>20146</v>
      </c>
      <c r="H22" s="75">
        <f t="shared" si="0"/>
        <v>1</v>
      </c>
      <c r="I22" s="41">
        <f t="shared" si="2"/>
        <v>38706</v>
      </c>
      <c r="J22" s="11">
        <v>0.77083333333333337</v>
      </c>
      <c r="K22" s="10">
        <v>20179</v>
      </c>
      <c r="L22" s="30">
        <f t="shared" si="5"/>
        <v>2</v>
      </c>
      <c r="M22" s="43">
        <f t="shared" si="3"/>
        <v>38372</v>
      </c>
      <c r="N22" s="13" t="s">
        <v>290</v>
      </c>
      <c r="O22" s="12">
        <v>20222</v>
      </c>
      <c r="P22" s="23">
        <f t="shared" si="4"/>
        <v>4</v>
      </c>
      <c r="R22" s="72"/>
    </row>
    <row r="23" spans="1:18" x14ac:dyDescent="0.2">
      <c r="A23" s="1" t="s">
        <v>354</v>
      </c>
      <c r="B23" s="104">
        <f>IF(B14=0,0,B14-120)</f>
        <v>-7.6549099999999868</v>
      </c>
      <c r="E23" s="38">
        <f t="shared" si="1"/>
        <v>39407</v>
      </c>
      <c r="F23" s="9">
        <v>0.77083333333333337</v>
      </c>
      <c r="G23" s="8">
        <v>20147</v>
      </c>
      <c r="H23" s="75">
        <f t="shared" si="0"/>
        <v>1</v>
      </c>
      <c r="I23" s="41">
        <f t="shared" si="2"/>
        <v>38707</v>
      </c>
      <c r="J23" s="11" t="s">
        <v>25</v>
      </c>
      <c r="K23" s="10">
        <v>20179</v>
      </c>
      <c r="L23" s="30">
        <f t="shared" si="5"/>
        <v>0</v>
      </c>
      <c r="M23" s="43">
        <f t="shared" si="3"/>
        <v>38373</v>
      </c>
      <c r="N23" s="13" t="s">
        <v>290</v>
      </c>
      <c r="O23" s="12">
        <v>20225</v>
      </c>
      <c r="P23" s="23">
        <f t="shared" si="4"/>
        <v>3</v>
      </c>
      <c r="R23" s="72"/>
    </row>
    <row r="24" spans="1:18" x14ac:dyDescent="0.2">
      <c r="A24" s="1" t="s">
        <v>355</v>
      </c>
      <c r="B24" s="104"/>
      <c r="E24" s="38">
        <f t="shared" si="1"/>
        <v>39408</v>
      </c>
      <c r="F24" s="9">
        <v>0.77083333333333337</v>
      </c>
      <c r="G24" s="8">
        <v>20149</v>
      </c>
      <c r="H24" s="75">
        <f t="shared" si="0"/>
        <v>2</v>
      </c>
      <c r="I24" s="41">
        <f t="shared" si="2"/>
        <v>38708</v>
      </c>
      <c r="J24" s="11" t="s">
        <v>26</v>
      </c>
      <c r="K24" s="10">
        <v>20179</v>
      </c>
      <c r="L24" s="30">
        <f t="shared" si="5"/>
        <v>0</v>
      </c>
      <c r="M24" s="43">
        <f t="shared" si="3"/>
        <v>38374</v>
      </c>
      <c r="N24" s="13" t="s">
        <v>290</v>
      </c>
      <c r="O24" s="12">
        <v>20228</v>
      </c>
      <c r="P24" s="23">
        <f t="shared" si="4"/>
        <v>3</v>
      </c>
      <c r="R24" s="72"/>
    </row>
    <row r="25" spans="1:18" x14ac:dyDescent="0.2">
      <c r="E25" s="38">
        <f t="shared" si="1"/>
        <v>39409</v>
      </c>
      <c r="F25" s="9" t="s">
        <v>25</v>
      </c>
      <c r="G25" s="8">
        <v>20149</v>
      </c>
      <c r="H25" s="75">
        <f t="shared" si="0"/>
        <v>0</v>
      </c>
      <c r="I25" s="41">
        <f t="shared" si="2"/>
        <v>38709</v>
      </c>
      <c r="J25" s="11">
        <v>0.77083333333333337</v>
      </c>
      <c r="K25" s="10">
        <v>20180</v>
      </c>
      <c r="L25" s="30">
        <f t="shared" si="5"/>
        <v>1</v>
      </c>
      <c r="M25" s="43">
        <f t="shared" si="3"/>
        <v>38375</v>
      </c>
      <c r="N25" s="13" t="s">
        <v>290</v>
      </c>
      <c r="O25" s="12">
        <v>20231</v>
      </c>
      <c r="P25" s="23">
        <f t="shared" si="4"/>
        <v>3</v>
      </c>
      <c r="R25" s="72"/>
    </row>
    <row r="26" spans="1:18" x14ac:dyDescent="0.2">
      <c r="A26" s="1" t="s">
        <v>370</v>
      </c>
      <c r="B26" s="66" t="s">
        <v>8</v>
      </c>
      <c r="C26" s="67" t="s">
        <v>5</v>
      </c>
      <c r="D26" s="67" t="s">
        <v>6</v>
      </c>
      <c r="E26" s="38">
        <f t="shared" si="1"/>
        <v>39410</v>
      </c>
      <c r="F26" s="9" t="s">
        <v>26</v>
      </c>
      <c r="G26" s="8">
        <v>20149</v>
      </c>
      <c r="H26" s="75">
        <f t="shared" si="0"/>
        <v>0</v>
      </c>
      <c r="I26" s="41">
        <f t="shared" si="2"/>
        <v>38710</v>
      </c>
      <c r="J26" s="11">
        <v>0.77083333333333337</v>
      </c>
      <c r="K26" s="10">
        <v>20181</v>
      </c>
      <c r="L26" s="30">
        <f t="shared" si="5"/>
        <v>1</v>
      </c>
      <c r="M26" s="43">
        <f t="shared" si="3"/>
        <v>38376</v>
      </c>
      <c r="N26" s="13" t="s">
        <v>290</v>
      </c>
      <c r="O26" s="12">
        <v>20233</v>
      </c>
      <c r="P26" s="23">
        <f t="shared" si="4"/>
        <v>2</v>
      </c>
      <c r="R26" s="72"/>
    </row>
    <row r="27" spans="1:18" x14ac:dyDescent="0.2">
      <c r="A27" s="5"/>
      <c r="B27" s="2"/>
      <c r="C27" s="3"/>
      <c r="D27" s="3"/>
      <c r="E27" s="38">
        <f t="shared" si="1"/>
        <v>39411</v>
      </c>
      <c r="F27" s="9">
        <v>0.77083333333333337</v>
      </c>
      <c r="G27" s="8">
        <v>20150</v>
      </c>
      <c r="H27" s="75">
        <f t="shared" si="0"/>
        <v>1</v>
      </c>
      <c r="I27" s="46">
        <f t="shared" si="2"/>
        <v>38711</v>
      </c>
      <c r="J27" s="11" t="s">
        <v>31</v>
      </c>
      <c r="K27" s="10">
        <v>20181</v>
      </c>
      <c r="L27" s="30">
        <f t="shared" si="5"/>
        <v>0</v>
      </c>
      <c r="M27" s="43">
        <f t="shared" si="3"/>
        <v>38377</v>
      </c>
      <c r="N27" s="13" t="s">
        <v>25</v>
      </c>
      <c r="O27" s="12">
        <v>20233</v>
      </c>
      <c r="P27" s="23">
        <f t="shared" si="4"/>
        <v>0</v>
      </c>
      <c r="R27" s="72"/>
    </row>
    <row r="28" spans="1:18" x14ac:dyDescent="0.2">
      <c r="A28" s="1" t="s">
        <v>0</v>
      </c>
      <c r="B28" s="2">
        <f ca="1">SUM(TODAY()-D16)</f>
        <v>1250</v>
      </c>
      <c r="C28" s="3"/>
      <c r="D28" s="3"/>
      <c r="E28" s="38">
        <f t="shared" si="1"/>
        <v>39412</v>
      </c>
      <c r="F28" s="9">
        <v>0.77083333333333337</v>
      </c>
      <c r="G28" s="8">
        <v>20151</v>
      </c>
      <c r="H28" s="75">
        <f t="shared" si="0"/>
        <v>1</v>
      </c>
      <c r="I28" s="41">
        <f t="shared" si="2"/>
        <v>38712</v>
      </c>
      <c r="J28" s="11" t="s">
        <v>332</v>
      </c>
      <c r="K28" s="10">
        <v>20181</v>
      </c>
      <c r="L28" s="30">
        <f t="shared" si="5"/>
        <v>0</v>
      </c>
      <c r="M28" s="43">
        <f t="shared" si="3"/>
        <v>38378</v>
      </c>
      <c r="N28" s="13" t="s">
        <v>26</v>
      </c>
      <c r="O28" s="12">
        <v>20233</v>
      </c>
      <c r="P28" s="23">
        <f t="shared" si="4"/>
        <v>0</v>
      </c>
      <c r="R28" s="72"/>
    </row>
    <row r="29" spans="1:18" x14ac:dyDescent="0.2">
      <c r="A29" s="1" t="s">
        <v>85</v>
      </c>
      <c r="B29" s="2">
        <f>(MAX(G3:G32, K3:K33,O3:O33, G37:G70, K37:K72, O37:O71)-B16)*B68</f>
        <v>18.383742000000002</v>
      </c>
      <c r="C29" s="3"/>
      <c r="D29" s="3"/>
      <c r="E29" s="38">
        <f t="shared" si="1"/>
        <v>39413</v>
      </c>
      <c r="F29" s="9">
        <v>0.77083333333333337</v>
      </c>
      <c r="G29" s="8">
        <v>20151</v>
      </c>
      <c r="H29" s="75">
        <f t="shared" si="0"/>
        <v>0</v>
      </c>
      <c r="I29" s="41">
        <f>I28+1</f>
        <v>38713</v>
      </c>
      <c r="J29" s="11">
        <v>0.77083333333333337</v>
      </c>
      <c r="K29" s="10">
        <v>20184</v>
      </c>
      <c r="L29" s="30">
        <f t="shared" si="5"/>
        <v>3</v>
      </c>
      <c r="M29" s="43">
        <f>M28+1</f>
        <v>38379</v>
      </c>
      <c r="N29" s="13" t="s">
        <v>290</v>
      </c>
      <c r="O29" s="12">
        <v>20238</v>
      </c>
      <c r="P29" s="23">
        <f t="shared" si="4"/>
        <v>5</v>
      </c>
      <c r="R29" s="72"/>
    </row>
    <row r="30" spans="1:18" x14ac:dyDescent="0.2">
      <c r="A30" s="1" t="s">
        <v>295</v>
      </c>
      <c r="B30" s="2">
        <f>IF((B14&gt;120),0,B29)</f>
        <v>18.383742000000002</v>
      </c>
      <c r="C30" s="3">
        <f>B54</f>
        <v>0.27385999999999999</v>
      </c>
      <c r="D30" s="3">
        <f>(B30*C30)</f>
        <v>5.0345715841200001</v>
      </c>
      <c r="E30" s="38">
        <f t="shared" si="1"/>
        <v>39414</v>
      </c>
      <c r="F30" s="9">
        <v>0.77083333333333337</v>
      </c>
      <c r="G30" s="8">
        <v>20152</v>
      </c>
      <c r="H30" s="75">
        <f t="shared" si="0"/>
        <v>1</v>
      </c>
      <c r="I30" s="41">
        <f>I29+1</f>
        <v>38714</v>
      </c>
      <c r="J30" s="11" t="s">
        <v>25</v>
      </c>
      <c r="K30" s="10">
        <v>20186</v>
      </c>
      <c r="L30" s="30">
        <f t="shared" si="5"/>
        <v>2</v>
      </c>
      <c r="M30" s="43">
        <f>M29+1</f>
        <v>38380</v>
      </c>
      <c r="N30" s="13" t="s">
        <v>290</v>
      </c>
      <c r="O30" s="12">
        <v>20241</v>
      </c>
      <c r="P30" s="23">
        <f t="shared" si="4"/>
        <v>3</v>
      </c>
      <c r="R30" s="72"/>
    </row>
    <row r="31" spans="1:18" x14ac:dyDescent="0.2">
      <c r="A31" s="1" t="s">
        <v>296</v>
      </c>
      <c r="B31" s="121">
        <f>IF(AND(B14&gt;120,B13&lt;480),(B29),0)</f>
        <v>0</v>
      </c>
      <c r="C31" s="3">
        <f>B55</f>
        <v>0.27385999999999999</v>
      </c>
      <c r="D31" s="3">
        <f>(B31*C31)</f>
        <v>0</v>
      </c>
      <c r="E31" s="38">
        <f t="shared" si="1"/>
        <v>39415</v>
      </c>
      <c r="F31" s="9">
        <v>0.77083333333333337</v>
      </c>
      <c r="G31" s="8">
        <v>20153</v>
      </c>
      <c r="H31" s="75">
        <f t="shared" si="0"/>
        <v>1</v>
      </c>
      <c r="I31" s="41">
        <f>I30+1</f>
        <v>38715</v>
      </c>
      <c r="J31" s="11" t="s">
        <v>26</v>
      </c>
      <c r="K31" s="10">
        <v>20186</v>
      </c>
      <c r="L31" s="30">
        <f t="shared" si="5"/>
        <v>0</v>
      </c>
      <c r="M31" s="43">
        <f>M30+1</f>
        <v>38381</v>
      </c>
      <c r="N31" s="13" t="s">
        <v>290</v>
      </c>
      <c r="O31" s="12">
        <v>20242</v>
      </c>
      <c r="P31" s="23">
        <f t="shared" si="4"/>
        <v>1</v>
      </c>
      <c r="R31" s="72"/>
    </row>
    <row r="32" spans="1:18" x14ac:dyDescent="0.2">
      <c r="A32" s="1" t="s">
        <v>297</v>
      </c>
      <c r="B32" s="2">
        <f>IF(K33&lt;O3,0,0)</f>
        <v>0</v>
      </c>
      <c r="C32" s="3">
        <f>B56</f>
        <v>0.27385999999999999</v>
      </c>
      <c r="D32" s="3">
        <f>(B32*C32)</f>
        <v>0</v>
      </c>
      <c r="E32" s="38">
        <f t="shared" si="1"/>
        <v>39416</v>
      </c>
      <c r="F32" s="9" t="s">
        <v>25</v>
      </c>
      <c r="G32" s="8">
        <v>20153</v>
      </c>
      <c r="H32" s="75">
        <f t="shared" si="0"/>
        <v>0</v>
      </c>
      <c r="I32" s="41">
        <f>I31+1</f>
        <v>38716</v>
      </c>
      <c r="J32" s="11">
        <v>0.77083333333333337</v>
      </c>
      <c r="K32" s="10">
        <v>20187</v>
      </c>
      <c r="L32" s="30">
        <f t="shared" si="5"/>
        <v>1</v>
      </c>
      <c r="M32" s="43">
        <f>M31+1</f>
        <v>38382</v>
      </c>
      <c r="N32" s="13" t="s">
        <v>290</v>
      </c>
      <c r="O32" s="12">
        <v>20243</v>
      </c>
      <c r="P32" s="23">
        <f t="shared" si="4"/>
        <v>1</v>
      </c>
      <c r="R32" s="72"/>
    </row>
    <row r="33" spans="1:18" x14ac:dyDescent="0.2">
      <c r="A33" s="1" t="s">
        <v>311</v>
      </c>
      <c r="B33" s="2">
        <f>B30</f>
        <v>18.383742000000002</v>
      </c>
      <c r="C33" s="68">
        <v>7.9459999999999999E-3</v>
      </c>
      <c r="D33" s="3">
        <f>(B33*C33)</f>
        <v>0.14607721393200002</v>
      </c>
      <c r="E33" s="38"/>
      <c r="F33" s="8"/>
      <c r="G33" s="8"/>
      <c r="H33" s="75" t="str">
        <f t="shared" si="0"/>
        <v/>
      </c>
      <c r="I33" s="41">
        <f>I32+1</f>
        <v>38717</v>
      </c>
      <c r="J33" s="11">
        <v>0.77083333333333337</v>
      </c>
      <c r="K33" s="10">
        <v>20188</v>
      </c>
      <c r="L33" s="30">
        <f t="shared" si="5"/>
        <v>1</v>
      </c>
      <c r="M33" s="43">
        <f>M32+1</f>
        <v>38383</v>
      </c>
      <c r="N33" s="126" t="s">
        <v>290</v>
      </c>
      <c r="O33" s="12">
        <v>20245</v>
      </c>
      <c r="P33" s="23">
        <f t="shared" si="4"/>
        <v>2</v>
      </c>
      <c r="R33" s="72"/>
    </row>
    <row r="34" spans="1:18" ht="13.5" thickBot="1" x14ac:dyDescent="0.25">
      <c r="A34" s="1" t="s">
        <v>312</v>
      </c>
      <c r="B34" s="2">
        <f>B31</f>
        <v>0</v>
      </c>
      <c r="C34" s="68">
        <v>7.9459999999999999E-3</v>
      </c>
      <c r="D34" s="3">
        <f t="shared" ref="D34:D48" si="6">B34*C34</f>
        <v>0</v>
      </c>
      <c r="E34" s="38"/>
      <c r="F34" s="8"/>
      <c r="G34" s="8"/>
      <c r="H34" s="75" t="str">
        <f t="shared" si="0"/>
        <v/>
      </c>
      <c r="I34" s="41"/>
      <c r="J34" s="51"/>
      <c r="K34" s="57"/>
      <c r="L34" s="30" t="str">
        <f t="shared" si="5"/>
        <v/>
      </c>
      <c r="M34" s="43"/>
      <c r="N34" s="12"/>
      <c r="O34" s="12"/>
      <c r="P34" s="23" t="str">
        <f t="shared" si="4"/>
        <v/>
      </c>
      <c r="R34" s="72"/>
    </row>
    <row r="35" spans="1:18" ht="13.5" thickTop="1" x14ac:dyDescent="0.2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7" t="s">
        <v>13</v>
      </c>
      <c r="F35" s="19" t="s">
        <v>10</v>
      </c>
      <c r="G35" s="19" t="s">
        <v>9</v>
      </c>
      <c r="H35" s="74" t="s">
        <v>11</v>
      </c>
      <c r="I35" s="45" t="s">
        <v>14</v>
      </c>
      <c r="J35" s="35" t="s">
        <v>10</v>
      </c>
      <c r="K35" s="20" t="s">
        <v>9</v>
      </c>
      <c r="L35" s="50" t="s">
        <v>11</v>
      </c>
      <c r="M35" s="48" t="s">
        <v>21</v>
      </c>
      <c r="N35" s="21" t="s">
        <v>10</v>
      </c>
      <c r="O35" s="21" t="s">
        <v>9</v>
      </c>
      <c r="P35" s="22" t="s">
        <v>11</v>
      </c>
      <c r="R35" s="72"/>
    </row>
    <row r="36" spans="1:18" x14ac:dyDescent="0.2">
      <c r="A36" s="1" t="s">
        <v>301</v>
      </c>
      <c r="B36" s="2">
        <f t="shared" ref="B36:B41" si="7">B30</f>
        <v>18.383742000000002</v>
      </c>
      <c r="C36" s="3">
        <v>5.9560000000000002E-2</v>
      </c>
      <c r="D36" s="3">
        <f t="shared" si="6"/>
        <v>1.0949356735200002</v>
      </c>
      <c r="E36" s="38"/>
      <c r="F36" s="8"/>
      <c r="G36" s="8"/>
      <c r="H36" s="75"/>
      <c r="I36" s="46"/>
      <c r="J36" s="11"/>
      <c r="K36" s="10"/>
      <c r="L36" s="30"/>
      <c r="M36" s="49"/>
      <c r="N36" s="12"/>
      <c r="O36" s="12"/>
      <c r="P36" s="23"/>
      <c r="R36" s="72"/>
    </row>
    <row r="37" spans="1:18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>
        <v>38384</v>
      </c>
      <c r="F37" s="9" t="s">
        <v>25</v>
      </c>
      <c r="G37" s="8">
        <v>20245</v>
      </c>
      <c r="H37" s="75">
        <f>G37-O33</f>
        <v>0</v>
      </c>
      <c r="I37" s="46">
        <v>38412</v>
      </c>
      <c r="J37" s="11" t="s">
        <v>26</v>
      </c>
      <c r="K37" s="10">
        <v>20284</v>
      </c>
      <c r="L37" s="30">
        <f>IF(AND(H68&lt;&gt;"",K37&lt;&gt;""),K37-K36,K37-MAX(G37:G68))</f>
        <v>0</v>
      </c>
      <c r="M37" s="43">
        <v>38443</v>
      </c>
      <c r="N37" s="13">
        <v>0.77083333333333337</v>
      </c>
      <c r="O37" s="12">
        <v>20298</v>
      </c>
      <c r="P37" s="23">
        <f>IF(AND(L68&lt;&gt;"",O37&lt;&gt;""),O37-O36,O37-MAX(K37:K68))</f>
        <v>0</v>
      </c>
      <c r="R37" s="72"/>
    </row>
    <row r="38" spans="1:18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f>E37+1</f>
        <v>38385</v>
      </c>
      <c r="F38" s="9" t="s">
        <v>26</v>
      </c>
      <c r="G38" s="8">
        <v>20245</v>
      </c>
      <c r="H38" s="75">
        <f t="shared" ref="H38:H61" si="8">IF(AND(H37&lt;&gt;"",G38&lt;&gt;""),G38-G37,"")</f>
        <v>0</v>
      </c>
      <c r="I38" s="41">
        <f>I37+1</f>
        <v>38413</v>
      </c>
      <c r="J38" s="11">
        <v>0.77083333333333337</v>
      </c>
      <c r="K38" s="10">
        <v>20287</v>
      </c>
      <c r="L38" s="30">
        <f t="shared" ref="L38:L68" si="9">IF(AND(L37&lt;&gt;"",K38&lt;&gt;""),K38-K37,"")</f>
        <v>3</v>
      </c>
      <c r="M38" s="43">
        <f>M37+1</f>
        <v>38444</v>
      </c>
      <c r="N38" s="13">
        <v>0.77083333333333337</v>
      </c>
      <c r="O38" s="12">
        <v>20298</v>
      </c>
      <c r="P38" s="23">
        <f t="shared" ref="P38:P66" si="10">IF(AND(P37&lt;&gt;"",O38&lt;&gt;""),O38-O37,"")</f>
        <v>0</v>
      </c>
      <c r="R38" s="72"/>
    </row>
    <row r="39" spans="1:18" x14ac:dyDescent="0.2">
      <c r="A39" s="1" t="s">
        <v>292</v>
      </c>
      <c r="B39" s="2">
        <f t="shared" si="7"/>
        <v>18.383742000000002</v>
      </c>
      <c r="C39" s="3">
        <v>3.0720999999999998E-2</v>
      </c>
      <c r="D39" s="3">
        <f t="shared" si="6"/>
        <v>0.56476693798200006</v>
      </c>
      <c r="E39" s="38">
        <f t="shared" ref="E39:E64" si="11">E38+1</f>
        <v>38386</v>
      </c>
      <c r="F39" s="9">
        <v>0.77083333333333337</v>
      </c>
      <c r="G39" s="8">
        <v>20247</v>
      </c>
      <c r="H39" s="75">
        <f t="shared" si="8"/>
        <v>2</v>
      </c>
      <c r="I39" s="41">
        <f t="shared" ref="I39:I61" si="12">I38+1</f>
        <v>38414</v>
      </c>
      <c r="J39" s="11" t="s">
        <v>290</v>
      </c>
      <c r="K39" s="10">
        <v>20288</v>
      </c>
      <c r="L39" s="30">
        <f t="shared" si="9"/>
        <v>1</v>
      </c>
      <c r="M39" s="43">
        <f t="shared" ref="M39:M66" si="13">M38+1</f>
        <v>38445</v>
      </c>
      <c r="N39" s="13">
        <v>0.77083333333333337</v>
      </c>
      <c r="O39" s="12">
        <v>20298</v>
      </c>
      <c r="P39" s="23">
        <f t="shared" si="10"/>
        <v>0</v>
      </c>
      <c r="R39" s="72"/>
    </row>
    <row r="40" spans="1:18" x14ac:dyDescent="0.2">
      <c r="A40" s="1" t="s">
        <v>293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si="11"/>
        <v>38387</v>
      </c>
      <c r="F40" s="9">
        <v>0.77083333333333337</v>
      </c>
      <c r="G40" s="8">
        <v>20250</v>
      </c>
      <c r="H40" s="75">
        <f t="shared" si="8"/>
        <v>3</v>
      </c>
      <c r="I40" s="41">
        <f t="shared" si="12"/>
        <v>38415</v>
      </c>
      <c r="J40" s="11" t="s">
        <v>290</v>
      </c>
      <c r="K40" s="10">
        <v>20290</v>
      </c>
      <c r="L40" s="30">
        <f t="shared" si="9"/>
        <v>2</v>
      </c>
      <c r="M40" s="43">
        <f t="shared" si="13"/>
        <v>38446</v>
      </c>
      <c r="N40" s="13" t="s">
        <v>25</v>
      </c>
      <c r="O40" s="12">
        <v>20298</v>
      </c>
      <c r="P40" s="23">
        <f t="shared" si="10"/>
        <v>0</v>
      </c>
      <c r="R40" s="72"/>
    </row>
    <row r="41" spans="1:18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38388</v>
      </c>
      <c r="F41" s="9">
        <v>0.77083333333333337</v>
      </c>
      <c r="G41" s="8">
        <v>20253</v>
      </c>
      <c r="H41" s="75">
        <f t="shared" si="8"/>
        <v>3</v>
      </c>
      <c r="I41" s="41">
        <f t="shared" si="12"/>
        <v>38416</v>
      </c>
      <c r="J41" s="11" t="s">
        <v>290</v>
      </c>
      <c r="K41" s="10">
        <v>20293</v>
      </c>
      <c r="L41" s="30">
        <f t="shared" si="9"/>
        <v>3</v>
      </c>
      <c r="M41" s="43">
        <f t="shared" si="13"/>
        <v>38447</v>
      </c>
      <c r="N41" s="13" t="s">
        <v>26</v>
      </c>
      <c r="O41" s="12">
        <v>20298</v>
      </c>
      <c r="P41" s="23">
        <f t="shared" si="10"/>
        <v>0</v>
      </c>
      <c r="R41" s="72"/>
    </row>
    <row r="42" spans="1:18" x14ac:dyDescent="0.2">
      <c r="A42" s="1" t="s">
        <v>323</v>
      </c>
      <c r="B42" s="2">
        <f ca="1">B28</f>
        <v>1250</v>
      </c>
      <c r="C42" s="70">
        <f>(B62+B63+B64)/365</f>
        <v>0.2233698630136986</v>
      </c>
      <c r="D42" s="3">
        <f t="shared" ca="1" si="6"/>
        <v>279.21232876712327</v>
      </c>
      <c r="E42" s="38">
        <f t="shared" si="11"/>
        <v>38389</v>
      </c>
      <c r="F42" s="9">
        <v>0.77083333333333337</v>
      </c>
      <c r="G42" s="8">
        <v>20254</v>
      </c>
      <c r="H42" s="75">
        <f t="shared" si="8"/>
        <v>1</v>
      </c>
      <c r="I42" s="41">
        <f t="shared" si="12"/>
        <v>38417</v>
      </c>
      <c r="J42" s="11" t="s">
        <v>290</v>
      </c>
      <c r="K42" s="10">
        <v>20295</v>
      </c>
      <c r="L42" s="30">
        <f t="shared" si="9"/>
        <v>2</v>
      </c>
      <c r="M42" s="43">
        <f t="shared" si="13"/>
        <v>38448</v>
      </c>
      <c r="N42" s="13">
        <v>0.77083333333333337</v>
      </c>
      <c r="O42" s="12">
        <v>20298</v>
      </c>
      <c r="P42" s="23">
        <f t="shared" si="10"/>
        <v>0</v>
      </c>
      <c r="R42" s="72"/>
    </row>
    <row r="43" spans="1:18" x14ac:dyDescent="0.2">
      <c r="A43" s="1" t="s">
        <v>22</v>
      </c>
      <c r="B43" s="2">
        <f>B30</f>
        <v>18.383742000000002</v>
      </c>
      <c r="C43" s="3">
        <v>2.6554000000000001E-2</v>
      </c>
      <c r="D43" s="3">
        <f t="shared" si="6"/>
        <v>0.48816188506800007</v>
      </c>
      <c r="E43" s="38">
        <f t="shared" si="11"/>
        <v>38390</v>
      </c>
      <c r="F43" s="9">
        <v>0.77083333333333337</v>
      </c>
      <c r="G43" s="8">
        <v>20257</v>
      </c>
      <c r="H43" s="75">
        <f t="shared" si="8"/>
        <v>3</v>
      </c>
      <c r="I43" s="41">
        <f t="shared" si="12"/>
        <v>38418</v>
      </c>
      <c r="J43" s="11" t="s">
        <v>25</v>
      </c>
      <c r="K43" s="10">
        <v>20295</v>
      </c>
      <c r="L43" s="30">
        <f t="shared" si="9"/>
        <v>0</v>
      </c>
      <c r="M43" s="43">
        <f t="shared" si="13"/>
        <v>38449</v>
      </c>
      <c r="N43" s="13">
        <v>0.77083333333333337</v>
      </c>
      <c r="O43" s="12">
        <v>20298</v>
      </c>
      <c r="P43" s="23">
        <f t="shared" si="10"/>
        <v>0</v>
      </c>
      <c r="R43" s="72"/>
    </row>
    <row r="44" spans="1:18" x14ac:dyDescent="0.2">
      <c r="A44" s="1" t="s">
        <v>15</v>
      </c>
      <c r="B44" s="2">
        <f>B31</f>
        <v>0</v>
      </c>
      <c r="C44" s="3">
        <v>0.125357</v>
      </c>
      <c r="D44" s="3">
        <f t="shared" si="6"/>
        <v>0</v>
      </c>
      <c r="E44" s="38">
        <f t="shared" si="11"/>
        <v>38391</v>
      </c>
      <c r="F44" s="9" t="s">
        <v>25</v>
      </c>
      <c r="G44" s="8">
        <v>20257</v>
      </c>
      <c r="H44" s="75">
        <f t="shared" si="8"/>
        <v>0</v>
      </c>
      <c r="I44" s="41">
        <f t="shared" si="12"/>
        <v>38419</v>
      </c>
      <c r="J44" s="11" t="s">
        <v>26</v>
      </c>
      <c r="K44" s="10">
        <v>20295</v>
      </c>
      <c r="L44" s="30">
        <f t="shared" si="9"/>
        <v>0</v>
      </c>
      <c r="M44" s="43">
        <f t="shared" si="13"/>
        <v>38450</v>
      </c>
      <c r="N44" s="13">
        <v>0.77083333333333337</v>
      </c>
      <c r="O44" s="12">
        <v>20298</v>
      </c>
      <c r="P44" s="23">
        <f t="shared" si="10"/>
        <v>0</v>
      </c>
      <c r="R44" s="72"/>
    </row>
    <row r="45" spans="1:18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38392</v>
      </c>
      <c r="F45" s="9" t="s">
        <v>26</v>
      </c>
      <c r="G45" s="8">
        <v>20257</v>
      </c>
      <c r="H45" s="75">
        <f t="shared" si="8"/>
        <v>0</v>
      </c>
      <c r="I45" s="41">
        <f t="shared" si="12"/>
        <v>38420</v>
      </c>
      <c r="J45" s="11" t="s">
        <v>290</v>
      </c>
      <c r="K45" s="10">
        <v>20296</v>
      </c>
      <c r="L45" s="30">
        <f t="shared" si="9"/>
        <v>1</v>
      </c>
      <c r="M45" s="43">
        <f t="shared" si="13"/>
        <v>38451</v>
      </c>
      <c r="N45" s="13">
        <v>0.77083333333333337</v>
      </c>
      <c r="O45" s="12">
        <v>20298</v>
      </c>
      <c r="P45" s="23">
        <f t="shared" si="10"/>
        <v>0</v>
      </c>
      <c r="R45" s="72"/>
    </row>
    <row r="46" spans="1:18" x14ac:dyDescent="0.2">
      <c r="A46" s="1" t="s">
        <v>314</v>
      </c>
      <c r="B46" s="104">
        <f>B30</f>
        <v>18.383742000000002</v>
      </c>
      <c r="C46" s="120">
        <f>B58</f>
        <v>4.3999999999999997E-2</v>
      </c>
      <c r="D46" s="3">
        <f t="shared" si="6"/>
        <v>0.80888464800000004</v>
      </c>
      <c r="E46" s="38">
        <f t="shared" si="11"/>
        <v>38393</v>
      </c>
      <c r="F46" s="9">
        <v>0.77083333333333337</v>
      </c>
      <c r="G46" s="8">
        <v>20260</v>
      </c>
      <c r="H46" s="75">
        <f t="shared" si="8"/>
        <v>3</v>
      </c>
      <c r="I46" s="41">
        <f t="shared" si="12"/>
        <v>38421</v>
      </c>
      <c r="J46" s="11" t="s">
        <v>290</v>
      </c>
      <c r="K46" s="10">
        <v>20298</v>
      </c>
      <c r="L46" s="30">
        <f t="shared" si="9"/>
        <v>2</v>
      </c>
      <c r="M46" s="43">
        <f t="shared" si="13"/>
        <v>38452</v>
      </c>
      <c r="N46" s="13">
        <v>0.77083333333333337</v>
      </c>
      <c r="O46" s="12">
        <v>20298</v>
      </c>
      <c r="P46" s="23">
        <f t="shared" si="10"/>
        <v>0</v>
      </c>
      <c r="R46" s="72"/>
    </row>
    <row r="47" spans="1:18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6"/>
        <v>0</v>
      </c>
      <c r="E47" s="38">
        <f t="shared" si="11"/>
        <v>38394</v>
      </c>
      <c r="F47" s="9">
        <v>0.77083333333333337</v>
      </c>
      <c r="G47" s="8">
        <v>20261</v>
      </c>
      <c r="H47" s="75">
        <f t="shared" si="8"/>
        <v>1</v>
      </c>
      <c r="I47" s="41">
        <f t="shared" si="12"/>
        <v>38422</v>
      </c>
      <c r="J47" s="11" t="s">
        <v>290</v>
      </c>
      <c r="K47" s="10">
        <v>20298</v>
      </c>
      <c r="L47" s="30">
        <f t="shared" si="9"/>
        <v>0</v>
      </c>
      <c r="M47" s="43">
        <f t="shared" si="13"/>
        <v>38453</v>
      </c>
      <c r="N47" s="13" t="s">
        <v>25</v>
      </c>
      <c r="O47" s="12">
        <v>20298</v>
      </c>
      <c r="P47" s="23">
        <f t="shared" si="10"/>
        <v>0</v>
      </c>
      <c r="R47" s="72"/>
    </row>
    <row r="48" spans="1:18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38395</v>
      </c>
      <c r="F48" s="9">
        <v>0.77083333333333337</v>
      </c>
      <c r="G48" s="8">
        <v>20263</v>
      </c>
      <c r="H48" s="75">
        <f t="shared" si="8"/>
        <v>2</v>
      </c>
      <c r="I48" s="41">
        <f t="shared" si="12"/>
        <v>38423</v>
      </c>
      <c r="J48" s="11" t="s">
        <v>290</v>
      </c>
      <c r="K48" s="10">
        <v>20298</v>
      </c>
      <c r="L48" s="30">
        <f t="shared" si="9"/>
        <v>0</v>
      </c>
      <c r="M48" s="43">
        <f t="shared" si="13"/>
        <v>38454</v>
      </c>
      <c r="N48" s="13" t="s">
        <v>34</v>
      </c>
      <c r="O48" s="12">
        <v>20298</v>
      </c>
      <c r="P48" s="23">
        <f t="shared" si="10"/>
        <v>0</v>
      </c>
      <c r="R48" s="72"/>
    </row>
    <row r="49" spans="1:18" x14ac:dyDescent="0.2">
      <c r="E49" s="38">
        <f t="shared" si="11"/>
        <v>38396</v>
      </c>
      <c r="F49" s="9">
        <v>0.77083333333333337</v>
      </c>
      <c r="G49" s="8">
        <v>20266</v>
      </c>
      <c r="H49" s="75">
        <f t="shared" si="8"/>
        <v>3</v>
      </c>
      <c r="I49" s="41">
        <f t="shared" si="12"/>
        <v>38424</v>
      </c>
      <c r="J49" s="11" t="s">
        <v>290</v>
      </c>
      <c r="K49" s="10">
        <v>20298</v>
      </c>
      <c r="L49" s="30">
        <f t="shared" si="9"/>
        <v>0</v>
      </c>
      <c r="M49" s="43">
        <f t="shared" si="13"/>
        <v>38455</v>
      </c>
      <c r="N49" s="13" t="s">
        <v>72</v>
      </c>
      <c r="O49" s="12">
        <v>20298</v>
      </c>
      <c r="P49" s="23">
        <f t="shared" si="10"/>
        <v>0</v>
      </c>
      <c r="R49" s="72"/>
    </row>
    <row r="50" spans="1:18" x14ac:dyDescent="0.2">
      <c r="E50" s="38">
        <f t="shared" si="11"/>
        <v>38397</v>
      </c>
      <c r="F50" s="9">
        <v>0.77083333333333337</v>
      </c>
      <c r="G50" s="8">
        <v>20268</v>
      </c>
      <c r="H50" s="75">
        <f t="shared" si="8"/>
        <v>2</v>
      </c>
      <c r="I50" s="41">
        <f t="shared" si="12"/>
        <v>38425</v>
      </c>
      <c r="J50" s="11" t="s">
        <v>25</v>
      </c>
      <c r="K50" s="10">
        <v>20298</v>
      </c>
      <c r="L50" s="30">
        <f t="shared" si="9"/>
        <v>0</v>
      </c>
      <c r="M50" s="43">
        <f t="shared" si="13"/>
        <v>38456</v>
      </c>
      <c r="N50" s="13">
        <v>0.77083333333333337</v>
      </c>
      <c r="O50" s="12">
        <v>20298</v>
      </c>
      <c r="P50" s="23">
        <f t="shared" si="10"/>
        <v>0</v>
      </c>
      <c r="R50" s="72"/>
    </row>
    <row r="51" spans="1:18" x14ac:dyDescent="0.2">
      <c r="A51" s="1" t="s">
        <v>96</v>
      </c>
      <c r="B51" s="2"/>
      <c r="C51" s="3"/>
      <c r="D51" s="55">
        <f>(SUM(D30:D31)+SUM(D33:D34)+SUM(D36:D37)+SUM(D39:D40)+SUM(D43+D44+D46+D47))*1.1</f>
        <v>8.9511377368842009</v>
      </c>
      <c r="E51" s="38">
        <f t="shared" si="11"/>
        <v>38398</v>
      </c>
      <c r="F51" s="9" t="s">
        <v>25</v>
      </c>
      <c r="G51" s="8">
        <v>20268</v>
      </c>
      <c r="H51" s="75">
        <f t="shared" si="8"/>
        <v>0</v>
      </c>
      <c r="I51" s="41">
        <f t="shared" si="12"/>
        <v>38426</v>
      </c>
      <c r="J51" s="11" t="s">
        <v>26</v>
      </c>
      <c r="K51" s="10">
        <v>20298</v>
      </c>
      <c r="L51" s="30">
        <f t="shared" si="9"/>
        <v>0</v>
      </c>
      <c r="M51" s="43">
        <f t="shared" si="13"/>
        <v>38457</v>
      </c>
      <c r="N51" s="13">
        <v>0.77083333333333337</v>
      </c>
      <c r="O51" s="12">
        <v>20298</v>
      </c>
      <c r="P51" s="23">
        <f t="shared" si="10"/>
        <v>0</v>
      </c>
      <c r="R51" s="72"/>
    </row>
    <row r="52" spans="1:18" x14ac:dyDescent="0.2">
      <c r="A52" s="1" t="s">
        <v>264</v>
      </c>
      <c r="D52" s="55">
        <f ca="1">(SUM(D32+D35+D38+D41+D42+D45+D48))*1.22</f>
        <v>340.63904109589038</v>
      </c>
      <c r="E52" s="38">
        <f t="shared" si="11"/>
        <v>38399</v>
      </c>
      <c r="F52" s="9" t="s">
        <v>26</v>
      </c>
      <c r="G52" s="8">
        <v>20268</v>
      </c>
      <c r="H52" s="75">
        <f t="shared" si="8"/>
        <v>0</v>
      </c>
      <c r="I52" s="41">
        <f t="shared" si="12"/>
        <v>38427</v>
      </c>
      <c r="J52" s="11" t="s">
        <v>290</v>
      </c>
      <c r="K52" s="10">
        <v>20298</v>
      </c>
      <c r="L52" s="30">
        <f t="shared" si="9"/>
        <v>0</v>
      </c>
      <c r="M52" s="43">
        <f t="shared" si="13"/>
        <v>38458</v>
      </c>
      <c r="N52" s="13">
        <v>0.77083333333333337</v>
      </c>
      <c r="O52" s="12">
        <v>20298</v>
      </c>
      <c r="P52" s="23">
        <f t="shared" si="10"/>
        <v>0</v>
      </c>
      <c r="R52" s="72"/>
    </row>
    <row r="53" spans="1:18" x14ac:dyDescent="0.2">
      <c r="A53" s="1"/>
      <c r="B53" s="2"/>
      <c r="C53" s="3"/>
      <c r="D53" s="3"/>
      <c r="E53" s="38">
        <f t="shared" si="11"/>
        <v>38400</v>
      </c>
      <c r="F53" s="9">
        <v>0.77083333333333337</v>
      </c>
      <c r="G53" s="8">
        <v>20270</v>
      </c>
      <c r="H53" s="75">
        <f t="shared" si="8"/>
        <v>2</v>
      </c>
      <c r="I53" s="41">
        <f t="shared" si="12"/>
        <v>38428</v>
      </c>
      <c r="J53" s="11" t="s">
        <v>290</v>
      </c>
      <c r="K53" s="10">
        <v>20298</v>
      </c>
      <c r="L53" s="30">
        <f t="shared" si="9"/>
        <v>0</v>
      </c>
      <c r="M53" s="43">
        <f t="shared" si="13"/>
        <v>38459</v>
      </c>
      <c r="N53" s="13">
        <v>0.77083333333333337</v>
      </c>
      <c r="O53" s="12">
        <v>20298</v>
      </c>
      <c r="P53" s="23">
        <f t="shared" si="10"/>
        <v>0</v>
      </c>
      <c r="R53" s="72"/>
    </row>
    <row r="54" spans="1:18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38401</v>
      </c>
      <c r="F54" s="9">
        <v>0.77083333333333337</v>
      </c>
      <c r="G54" s="8">
        <v>20271</v>
      </c>
      <c r="H54" s="75">
        <f t="shared" si="8"/>
        <v>1</v>
      </c>
      <c r="I54" s="41">
        <f t="shared" si="12"/>
        <v>38429</v>
      </c>
      <c r="J54" s="11" t="s">
        <v>290</v>
      </c>
      <c r="K54" s="10">
        <v>20298</v>
      </c>
      <c r="L54" s="30">
        <f t="shared" si="9"/>
        <v>0</v>
      </c>
      <c r="M54" s="43">
        <f t="shared" si="13"/>
        <v>38460</v>
      </c>
      <c r="N54" s="13" t="s">
        <v>25</v>
      </c>
      <c r="O54" s="12">
        <v>20298</v>
      </c>
      <c r="P54" s="23">
        <f t="shared" si="10"/>
        <v>0</v>
      </c>
      <c r="R54" s="72"/>
    </row>
    <row r="55" spans="1:18" x14ac:dyDescent="0.2">
      <c r="A55" s="1" t="s">
        <v>299</v>
      </c>
      <c r="B55" s="26">
        <v>0.27385999999999999</v>
      </c>
      <c r="C55" s="65"/>
      <c r="D55" s="3"/>
      <c r="E55" s="38">
        <f t="shared" si="11"/>
        <v>38402</v>
      </c>
      <c r="F55" s="9">
        <v>0.77083333333333337</v>
      </c>
      <c r="G55" s="8">
        <v>20273</v>
      </c>
      <c r="H55" s="75">
        <f t="shared" si="8"/>
        <v>2</v>
      </c>
      <c r="I55" s="41">
        <f t="shared" si="12"/>
        <v>38430</v>
      </c>
      <c r="J55" s="11" t="s">
        <v>290</v>
      </c>
      <c r="K55" s="10">
        <v>20298</v>
      </c>
      <c r="L55" s="30">
        <f t="shared" si="9"/>
        <v>0</v>
      </c>
      <c r="M55" s="43">
        <f t="shared" si="13"/>
        <v>38461</v>
      </c>
      <c r="N55" s="13" t="s">
        <v>26</v>
      </c>
      <c r="O55" s="12">
        <v>20298</v>
      </c>
      <c r="P55" s="23">
        <f t="shared" si="10"/>
        <v>0</v>
      </c>
      <c r="R55" s="72"/>
    </row>
    <row r="56" spans="1:18" x14ac:dyDescent="0.2">
      <c r="A56" s="1" t="s">
        <v>300</v>
      </c>
      <c r="B56" s="26">
        <v>0.27385999999999999</v>
      </c>
      <c r="C56" s="65"/>
      <c r="D56" s="3"/>
      <c r="E56" s="38">
        <f t="shared" si="11"/>
        <v>38403</v>
      </c>
      <c r="F56" s="9">
        <v>0.77083333333333337</v>
      </c>
      <c r="G56" s="8">
        <v>20276</v>
      </c>
      <c r="H56" s="75">
        <f t="shared" si="8"/>
        <v>3</v>
      </c>
      <c r="I56" s="41">
        <f t="shared" si="12"/>
        <v>38431</v>
      </c>
      <c r="J56" s="11" t="s">
        <v>290</v>
      </c>
      <c r="K56" s="10">
        <v>20298</v>
      </c>
      <c r="L56" s="30">
        <f t="shared" si="9"/>
        <v>0</v>
      </c>
      <c r="M56" s="43">
        <f t="shared" si="13"/>
        <v>38462</v>
      </c>
      <c r="N56" s="13">
        <v>0.77083333333333337</v>
      </c>
      <c r="O56" s="12">
        <v>20298</v>
      </c>
      <c r="P56" s="23">
        <f t="shared" si="10"/>
        <v>0</v>
      </c>
      <c r="R56" s="72"/>
    </row>
    <row r="57" spans="1:18" x14ac:dyDescent="0.2">
      <c r="A57" s="1"/>
      <c r="B57" s="2"/>
      <c r="C57" s="3"/>
      <c r="D57" s="3"/>
      <c r="E57" s="38">
        <f t="shared" si="11"/>
        <v>38404</v>
      </c>
      <c r="F57" s="9">
        <v>0.77083333333333337</v>
      </c>
      <c r="G57" s="8">
        <v>20277</v>
      </c>
      <c r="H57" s="75">
        <f t="shared" si="8"/>
        <v>1</v>
      </c>
      <c r="I57" s="41">
        <f t="shared" si="12"/>
        <v>38432</v>
      </c>
      <c r="J57" s="11" t="s">
        <v>25</v>
      </c>
      <c r="K57" s="10">
        <v>20298</v>
      </c>
      <c r="L57" s="30">
        <f t="shared" si="9"/>
        <v>0</v>
      </c>
      <c r="M57" s="43">
        <f t="shared" si="13"/>
        <v>38463</v>
      </c>
      <c r="N57" s="13">
        <v>0.77083333333333337</v>
      </c>
      <c r="O57" s="12">
        <v>20298</v>
      </c>
      <c r="P57" s="23">
        <f t="shared" si="10"/>
        <v>0</v>
      </c>
      <c r="R57" s="72"/>
    </row>
    <row r="58" spans="1:18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38405</v>
      </c>
      <c r="F58" s="9" t="s">
        <v>25</v>
      </c>
      <c r="G58" s="8">
        <v>20277</v>
      </c>
      <c r="H58" s="75">
        <f t="shared" si="8"/>
        <v>0</v>
      </c>
      <c r="I58" s="41">
        <f t="shared" si="12"/>
        <v>38433</v>
      </c>
      <c r="J58" s="11" t="s">
        <v>26</v>
      </c>
      <c r="K58" s="10">
        <v>20298</v>
      </c>
      <c r="L58" s="30">
        <f t="shared" si="9"/>
        <v>0</v>
      </c>
      <c r="M58" s="43">
        <f t="shared" si="13"/>
        <v>38464</v>
      </c>
      <c r="N58" s="13">
        <v>0.77083333333333337</v>
      </c>
      <c r="O58" s="12">
        <v>20298</v>
      </c>
      <c r="P58" s="23">
        <f t="shared" si="10"/>
        <v>0</v>
      </c>
      <c r="R58" s="72"/>
    </row>
    <row r="59" spans="1:18" x14ac:dyDescent="0.2">
      <c r="A59" s="1" t="s">
        <v>304</v>
      </c>
      <c r="B59" s="26">
        <v>0.17499999999999999</v>
      </c>
      <c r="C59" s="3"/>
      <c r="D59" s="3"/>
      <c r="E59" s="38">
        <f t="shared" si="11"/>
        <v>38406</v>
      </c>
      <c r="F59" s="9" t="s">
        <v>26</v>
      </c>
      <c r="G59" s="8">
        <v>20277</v>
      </c>
      <c r="H59" s="75">
        <f t="shared" si="8"/>
        <v>0</v>
      </c>
      <c r="I59" s="41">
        <f t="shared" si="12"/>
        <v>38434</v>
      </c>
      <c r="J59" s="11" t="s">
        <v>290</v>
      </c>
      <c r="K59" s="10">
        <v>20298</v>
      </c>
      <c r="L59" s="30">
        <f t="shared" si="9"/>
        <v>0</v>
      </c>
      <c r="M59" s="43">
        <f t="shared" si="13"/>
        <v>38465</v>
      </c>
      <c r="N59" s="13">
        <v>0.77083333333333337</v>
      </c>
      <c r="O59" s="12">
        <v>20298</v>
      </c>
      <c r="P59" s="23">
        <f t="shared" si="10"/>
        <v>0</v>
      </c>
      <c r="R59" s="72"/>
    </row>
    <row r="60" spans="1:18" x14ac:dyDescent="0.2">
      <c r="A60" s="1" t="s">
        <v>305</v>
      </c>
      <c r="B60" s="26">
        <v>0.17</v>
      </c>
      <c r="C60" s="3"/>
      <c r="D60" s="3"/>
      <c r="E60" s="38">
        <f t="shared" si="11"/>
        <v>38407</v>
      </c>
      <c r="F60" s="9">
        <v>0.77083333333333337</v>
      </c>
      <c r="G60" s="8">
        <v>20278</v>
      </c>
      <c r="H60" s="75">
        <f t="shared" si="8"/>
        <v>1</v>
      </c>
      <c r="I60" s="41">
        <f t="shared" si="12"/>
        <v>38435</v>
      </c>
      <c r="J60" s="11" t="s">
        <v>290</v>
      </c>
      <c r="K60" s="10">
        <v>20298</v>
      </c>
      <c r="L60" s="30">
        <f t="shared" si="9"/>
        <v>0</v>
      </c>
      <c r="M60" s="43">
        <f t="shared" si="13"/>
        <v>38466</v>
      </c>
      <c r="N60" s="13">
        <v>0.77083333333333337</v>
      </c>
      <c r="O60" s="12">
        <v>20298</v>
      </c>
      <c r="P60" s="23">
        <f t="shared" si="10"/>
        <v>0</v>
      </c>
      <c r="R60" s="72"/>
    </row>
    <row r="61" spans="1:18" x14ac:dyDescent="0.2">
      <c r="A61" s="1"/>
      <c r="B61" s="2"/>
      <c r="C61" s="3"/>
      <c r="D61" s="3"/>
      <c r="E61" s="38">
        <f t="shared" si="11"/>
        <v>38408</v>
      </c>
      <c r="F61" s="9">
        <v>0.77083333333333337</v>
      </c>
      <c r="G61" s="8">
        <v>20280</v>
      </c>
      <c r="H61" s="75">
        <f t="shared" si="8"/>
        <v>2</v>
      </c>
      <c r="I61" s="41">
        <f t="shared" si="12"/>
        <v>38436</v>
      </c>
      <c r="J61" s="11" t="s">
        <v>290</v>
      </c>
      <c r="K61" s="10">
        <v>20298</v>
      </c>
      <c r="L61" s="30">
        <f t="shared" si="9"/>
        <v>0</v>
      </c>
      <c r="M61" s="43">
        <f t="shared" si="13"/>
        <v>38467</v>
      </c>
      <c r="N61" s="13" t="s">
        <v>25</v>
      </c>
      <c r="O61" s="12">
        <v>20298</v>
      </c>
      <c r="P61" s="23">
        <f t="shared" si="10"/>
        <v>0</v>
      </c>
      <c r="R61" s="72"/>
    </row>
    <row r="62" spans="1:18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38409</v>
      </c>
      <c r="F62" s="9">
        <v>0.77083333333333337</v>
      </c>
      <c r="G62" s="8">
        <v>20281</v>
      </c>
      <c r="H62" s="75">
        <f>IF(AND(H61&lt;&gt;"",G62&lt;&gt;""),G62-G61,"")</f>
        <v>1</v>
      </c>
      <c r="I62" s="41">
        <v>38802</v>
      </c>
      <c r="J62" s="11" t="s">
        <v>290</v>
      </c>
      <c r="K62" s="10">
        <v>20298</v>
      </c>
      <c r="L62" s="30">
        <f t="shared" si="9"/>
        <v>0</v>
      </c>
      <c r="M62" s="43">
        <f t="shared" si="13"/>
        <v>38468</v>
      </c>
      <c r="N62" s="13" t="s">
        <v>26</v>
      </c>
      <c r="O62" s="12">
        <v>20298</v>
      </c>
      <c r="P62" s="23">
        <f t="shared" si="10"/>
        <v>0</v>
      </c>
      <c r="R62" s="72"/>
    </row>
    <row r="63" spans="1:18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38410</v>
      </c>
      <c r="F63" s="9">
        <v>0.77083333333333337</v>
      </c>
      <c r="G63" s="8">
        <v>20283</v>
      </c>
      <c r="H63" s="75">
        <f>IF(AND(H62&lt;&gt;"",G63&lt;&gt;""),G63-G62,"")</f>
        <v>2</v>
      </c>
      <c r="I63" s="41">
        <v>38803</v>
      </c>
      <c r="J63" s="11" t="s">
        <v>290</v>
      </c>
      <c r="K63" s="10">
        <v>20298</v>
      </c>
      <c r="L63" s="30">
        <f t="shared" si="9"/>
        <v>0</v>
      </c>
      <c r="M63" s="43">
        <f t="shared" si="13"/>
        <v>38469</v>
      </c>
      <c r="N63" s="13">
        <v>0.77083333333333337</v>
      </c>
      <c r="O63" s="12">
        <v>20298</v>
      </c>
      <c r="P63" s="23">
        <f t="shared" si="10"/>
        <v>0</v>
      </c>
      <c r="R63" s="72"/>
    </row>
    <row r="64" spans="1:18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38411</v>
      </c>
      <c r="F64" s="9">
        <v>0.77083333333333337</v>
      </c>
      <c r="G64" s="8">
        <v>20284</v>
      </c>
      <c r="H64" s="75">
        <f>IF(AND(H63&lt;&gt;"",G64&lt;&gt;""),G64-G63,"")</f>
        <v>1</v>
      </c>
      <c r="I64" s="41">
        <v>38804</v>
      </c>
      <c r="J64" s="11" t="s">
        <v>25</v>
      </c>
      <c r="K64" s="10">
        <v>20298</v>
      </c>
      <c r="L64" s="30">
        <f t="shared" si="9"/>
        <v>0</v>
      </c>
      <c r="M64" s="43">
        <f t="shared" si="13"/>
        <v>38470</v>
      </c>
      <c r="N64" s="13">
        <v>0.77083333333333337</v>
      </c>
      <c r="O64" s="12">
        <v>20298</v>
      </c>
      <c r="P64" s="23">
        <f t="shared" si="10"/>
        <v>0</v>
      </c>
      <c r="R64" s="72"/>
    </row>
    <row r="65" spans="1:18" x14ac:dyDescent="0.2">
      <c r="A65" s="1" t="s">
        <v>91</v>
      </c>
      <c r="B65" s="26">
        <v>0</v>
      </c>
      <c r="C65" s="3" t="s">
        <v>86</v>
      </c>
      <c r="D65" s="3"/>
      <c r="E65" s="38" t="s">
        <v>204</v>
      </c>
      <c r="F65" s="9" t="s">
        <v>25</v>
      </c>
      <c r="G65" s="8">
        <v>20284</v>
      </c>
      <c r="H65" s="75">
        <f>IF(AND(H64&lt;&gt;"",G65&lt;&gt;""),G65-G64,"")</f>
        <v>0</v>
      </c>
      <c r="I65" s="41">
        <v>38805</v>
      </c>
      <c r="J65" s="11" t="s">
        <v>26</v>
      </c>
      <c r="K65" s="10">
        <v>20298</v>
      </c>
      <c r="L65" s="30">
        <f t="shared" si="9"/>
        <v>0</v>
      </c>
      <c r="M65" s="43">
        <f t="shared" si="13"/>
        <v>38471</v>
      </c>
      <c r="N65" s="13">
        <v>0.77083333333333337</v>
      </c>
      <c r="O65" s="12">
        <v>20298</v>
      </c>
      <c r="P65" s="23">
        <f t="shared" si="10"/>
        <v>0</v>
      </c>
      <c r="R65" s="72"/>
    </row>
    <row r="66" spans="1:18" x14ac:dyDescent="0.2">
      <c r="A66" s="1"/>
      <c r="B66" s="2"/>
      <c r="C66" s="3"/>
      <c r="D66" s="3"/>
      <c r="E66" s="38"/>
      <c r="F66" s="8"/>
      <c r="G66" s="8"/>
      <c r="H66" s="75" t="str">
        <f>IF(AND(H60&lt;&gt;"",G66&lt;&gt;""),G66-G60,"")</f>
        <v/>
      </c>
      <c r="I66" s="41">
        <v>38806</v>
      </c>
      <c r="J66" s="11" t="s">
        <v>290</v>
      </c>
      <c r="K66" s="10">
        <v>20298</v>
      </c>
      <c r="L66" s="30">
        <f t="shared" si="9"/>
        <v>0</v>
      </c>
      <c r="M66" s="43">
        <f t="shared" si="13"/>
        <v>38472</v>
      </c>
      <c r="N66" s="13">
        <v>0.77083333333333337</v>
      </c>
      <c r="O66" s="12">
        <v>20298</v>
      </c>
      <c r="P66" s="23">
        <f t="shared" si="10"/>
        <v>0</v>
      </c>
      <c r="R66" s="72"/>
    </row>
    <row r="67" spans="1:18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38807</v>
      </c>
      <c r="J67" s="11" t="s">
        <v>290</v>
      </c>
      <c r="K67" s="10">
        <v>20298</v>
      </c>
      <c r="L67" s="30">
        <f t="shared" si="9"/>
        <v>0</v>
      </c>
      <c r="M67" s="43"/>
      <c r="N67" s="12"/>
      <c r="O67" s="12"/>
      <c r="P67" s="23" t="str">
        <f>IF(AND(P61&lt;&gt;"",O67&lt;&gt;""),O67-O61,"")</f>
        <v/>
      </c>
      <c r="R67" s="72"/>
    </row>
    <row r="68" spans="1:18" ht="13.5" thickBot="1" x14ac:dyDescent="0.25">
      <c r="A68" s="1" t="s">
        <v>194</v>
      </c>
      <c r="B68" s="102">
        <v>1.0213190000000001</v>
      </c>
      <c r="E68" s="39"/>
      <c r="F68" s="25"/>
      <c r="G68" s="16"/>
      <c r="H68" s="77" t="str">
        <f>IF(AND(H67&lt;&gt;"",G68&lt;&gt;""),G68-G67,"")</f>
        <v/>
      </c>
      <c r="I68" s="42"/>
      <c r="J68" s="28"/>
      <c r="K68" s="17"/>
      <c r="L68" s="31" t="str">
        <f t="shared" si="9"/>
        <v/>
      </c>
      <c r="M68" s="44"/>
      <c r="N68" s="18"/>
      <c r="O68" s="18"/>
      <c r="P68" s="24" t="str">
        <f>IF(AND(P67&lt;&gt;"",O68&lt;&gt;""),O68-O67,"")</f>
        <v/>
      </c>
      <c r="R68" s="72"/>
    </row>
    <row r="69" spans="1:18" ht="13.5" thickTop="1" x14ac:dyDescent="0.2">
      <c r="R69" s="72"/>
    </row>
    <row r="70" spans="1:18" x14ac:dyDescent="0.2">
      <c r="A70" s="72" t="s">
        <v>24</v>
      </c>
      <c r="B70" s="55">
        <f ca="1">B1</f>
        <v>349.5901788327746</v>
      </c>
    </row>
  </sheetData>
  <mergeCells count="5">
    <mergeCell ref="C5:D5"/>
    <mergeCell ref="C6:D6"/>
    <mergeCell ref="C7:D7"/>
    <mergeCell ref="C9:D9"/>
    <mergeCell ref="C4:D4"/>
  </mergeCells>
  <conditionalFormatting sqref="P3">
    <cfRule type="cellIs" dxfId="89" priority="12" stopIfTrue="1" operator="lessThan">
      <formula>0</formula>
    </cfRule>
    <cfRule type="cellIs" dxfId="88" priority="13" stopIfTrue="1" operator="lessThan">
      <formula>0</formula>
    </cfRule>
  </conditionalFormatting>
  <conditionalFormatting sqref="L37">
    <cfRule type="cellIs" dxfId="87" priority="11" stopIfTrue="1" operator="lessThan">
      <formula>0</formula>
    </cfRule>
  </conditionalFormatting>
  <conditionalFormatting sqref="H37">
    <cfRule type="cellIs" dxfId="86" priority="10" stopIfTrue="1" operator="lessThan">
      <formula>0</formula>
    </cfRule>
  </conditionalFormatting>
  <conditionalFormatting sqref="P37">
    <cfRule type="cellIs" dxfId="85" priority="9" stopIfTrue="1" operator="lessThan">
      <formula>0</formula>
    </cfRule>
  </conditionalFormatting>
  <conditionalFormatting sqref="B28">
    <cfRule type="cellIs" dxfId="84" priority="8" stopIfTrue="1" operator="greaterThan">
      <formula>366</formula>
    </cfRule>
  </conditionalFormatting>
  <conditionalFormatting sqref="B43:B45 B30:B41">
    <cfRule type="cellIs" dxfId="83" priority="6" stopIfTrue="1" operator="greaterThan">
      <formula>366</formula>
    </cfRule>
    <cfRule type="cellIs" dxfId="82" priority="7" stopIfTrue="1" operator="greaterThan">
      <formula>40472</formula>
    </cfRule>
  </conditionalFormatting>
  <conditionalFormatting sqref="B1">
    <cfRule type="containsText" dxfId="81" priority="5" stopIfTrue="1" operator="containsText" text="#VALORE!">
      <formula>NOT(ISERROR(SEARCH("#VALORE!",B1)))</formula>
    </cfRule>
  </conditionalFormatting>
  <conditionalFormatting sqref="R8">
    <cfRule type="cellIs" dxfId="80" priority="4" operator="lessThan">
      <formula>0</formula>
    </cfRule>
  </conditionalFormatting>
  <conditionalFormatting sqref="R10">
    <cfRule type="cellIs" dxfId="79" priority="3" operator="lessThan">
      <formula>0</formula>
    </cfRule>
  </conditionalFormatting>
  <conditionalFormatting sqref="R12">
    <cfRule type="cellIs" dxfId="78" priority="2" operator="lessThan">
      <formula>0</formula>
    </cfRule>
  </conditionalFormatting>
  <conditionalFormatting sqref="R14">
    <cfRule type="cellIs" dxfId="7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55" workbookViewId="0">
      <selection activeCell="H56" sqref="H56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  <col min="18" max="18" width="9.140625" style="72"/>
  </cols>
  <sheetData>
    <row r="1" spans="1:18" ht="13.5" thickBot="1" x14ac:dyDescent="0.25"/>
    <row r="2" spans="1:18" ht="13.5" thickTop="1" x14ac:dyDescent="0.2">
      <c r="A2" s="1" t="s">
        <v>24</v>
      </c>
      <c r="B2" s="55">
        <f ca="1">IF(D52="",D53,D52+D53)</f>
        <v>356.23173500446273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  <c r="R2" s="122" t="s">
        <v>371</v>
      </c>
    </row>
    <row r="3" spans="1:18" x14ac:dyDescent="0.2">
      <c r="A3" s="1" t="s">
        <v>289</v>
      </c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8" x14ac:dyDescent="0.2">
      <c r="A4" s="1"/>
      <c r="B4" s="2"/>
      <c r="C4" s="3"/>
      <c r="D4" s="3"/>
      <c r="E4" s="38">
        <v>39387</v>
      </c>
      <c r="F4" s="9">
        <v>0.77083333333333337</v>
      </c>
      <c r="G4" s="8">
        <v>19963</v>
      </c>
      <c r="H4" s="76">
        <f>IF(G4-B17&lt;0,0,0)</f>
        <v>0</v>
      </c>
      <c r="I4" s="46">
        <v>38687</v>
      </c>
      <c r="J4" s="11" t="s">
        <v>25</v>
      </c>
      <c r="K4" s="10">
        <v>19974</v>
      </c>
      <c r="L4" s="30">
        <f>IF(AND(H35&lt;&gt;"",K4&lt;&gt;""),K4-K3,K4-MAX(G4:G35))</f>
        <v>0</v>
      </c>
      <c r="M4" s="43">
        <v>38353</v>
      </c>
      <c r="N4" s="13" t="s">
        <v>33</v>
      </c>
      <c r="O4" s="12">
        <v>20021</v>
      </c>
      <c r="P4" s="23">
        <f>IF(AND(L35&lt;&gt;"",O4&lt;&gt;""),O4-O3,O4-MAX(K4:K34))</f>
        <v>0</v>
      </c>
      <c r="R4" s="123" t="s">
        <v>19</v>
      </c>
    </row>
    <row r="5" spans="1:18" x14ac:dyDescent="0.2">
      <c r="A5" s="1" t="s">
        <v>365</v>
      </c>
      <c r="B5" s="26">
        <v>48.45</v>
      </c>
      <c r="E5" s="38">
        <f>E4+1</f>
        <v>39388</v>
      </c>
      <c r="F5" s="9">
        <v>0.77083333333333337</v>
      </c>
      <c r="G5" s="8">
        <v>19963</v>
      </c>
      <c r="H5" s="75">
        <f t="shared" ref="H5:H35" si="0">IF(AND(H4&lt;&gt;"",G5&lt;&gt;""),G5-G4,"")</f>
        <v>0</v>
      </c>
      <c r="I5" s="41">
        <f>I4+1</f>
        <v>38688</v>
      </c>
      <c r="J5" s="11" t="s">
        <v>26</v>
      </c>
      <c r="K5" s="10">
        <v>19974</v>
      </c>
      <c r="L5" s="30">
        <f>IF(AND(L4&lt;&gt;"",K5&lt;&gt;""),K5-K4,"")</f>
        <v>0</v>
      </c>
      <c r="M5" s="43">
        <f>M4+1</f>
        <v>38354</v>
      </c>
      <c r="N5" s="13" t="s">
        <v>290</v>
      </c>
      <c r="O5" s="12">
        <v>20027</v>
      </c>
      <c r="P5" s="23">
        <f>IF(AND(P4&lt;&gt;"",O5&lt;&gt;""),O5-O4,"")</f>
        <v>6</v>
      </c>
      <c r="R5" s="124">
        <f>SUM(H4:H33)</f>
        <v>11</v>
      </c>
    </row>
    <row r="6" spans="1:18" x14ac:dyDescent="0.2">
      <c r="A6" s="1" t="s">
        <v>366</v>
      </c>
      <c r="B6" s="26">
        <v>47.31</v>
      </c>
      <c r="C6" s="131"/>
      <c r="D6" s="132"/>
      <c r="E6" s="38">
        <f t="shared" ref="E6:E33" si="1">E5+1</f>
        <v>39389</v>
      </c>
      <c r="F6" s="9" t="s">
        <v>25</v>
      </c>
      <c r="G6" s="8">
        <v>19963</v>
      </c>
      <c r="H6" s="75">
        <f t="shared" si="0"/>
        <v>0</v>
      </c>
      <c r="I6" s="41">
        <f t="shared" ref="I6:I29" si="2">I5+1</f>
        <v>38689</v>
      </c>
      <c r="J6" s="11">
        <v>0.77083333333333337</v>
      </c>
      <c r="K6" s="10">
        <v>19977</v>
      </c>
      <c r="L6" s="30">
        <f>IF(AND(L5&lt;&gt;"",K6&lt;&gt;""),K6-K5,"")</f>
        <v>3</v>
      </c>
      <c r="M6" s="43">
        <f t="shared" ref="M6:M29" si="3">M5+1</f>
        <v>38355</v>
      </c>
      <c r="N6" s="13" t="s">
        <v>290</v>
      </c>
      <c r="O6" s="12">
        <v>20029</v>
      </c>
      <c r="P6" s="23">
        <f t="shared" ref="P6:P35" si="4">IF(AND(P5&lt;&gt;"",O6&lt;&gt;""),O6-O5,"")</f>
        <v>2</v>
      </c>
      <c r="R6" s="123" t="s">
        <v>20</v>
      </c>
    </row>
    <row r="7" spans="1:18" x14ac:dyDescent="0.2">
      <c r="A7" s="1" t="s">
        <v>367</v>
      </c>
      <c r="B7" s="26">
        <v>0</v>
      </c>
      <c r="C7" s="131" t="s">
        <v>364</v>
      </c>
      <c r="D7" s="132"/>
      <c r="E7" s="38">
        <f t="shared" si="1"/>
        <v>39390</v>
      </c>
      <c r="F7" s="9" t="s">
        <v>26</v>
      </c>
      <c r="G7" s="8">
        <v>19963</v>
      </c>
      <c r="H7" s="75">
        <f t="shared" si="0"/>
        <v>0</v>
      </c>
      <c r="I7" s="41">
        <f t="shared" si="2"/>
        <v>38690</v>
      </c>
      <c r="J7" s="11">
        <v>0.77083333333333337</v>
      </c>
      <c r="K7" s="10">
        <v>19979</v>
      </c>
      <c r="L7" s="30">
        <f>IF(AND(L6&lt;&gt;"",K7&lt;&gt;""),K7-K6,"")</f>
        <v>2</v>
      </c>
      <c r="M7" s="43">
        <f t="shared" si="3"/>
        <v>38356</v>
      </c>
      <c r="N7" s="13">
        <v>0.77083333333333337</v>
      </c>
      <c r="O7" s="12">
        <v>20032</v>
      </c>
      <c r="P7" s="23">
        <f t="shared" si="4"/>
        <v>3</v>
      </c>
      <c r="R7" s="72">
        <f>SUM(L4:L34)</f>
        <v>47</v>
      </c>
    </row>
    <row r="8" spans="1:18" x14ac:dyDescent="0.2">
      <c r="A8" s="1" t="s">
        <v>373</v>
      </c>
      <c r="B8" s="26">
        <v>8.9700000000000006</v>
      </c>
      <c r="C8" s="133"/>
      <c r="D8" s="133"/>
      <c r="E8" s="38">
        <f t="shared" si="1"/>
        <v>39391</v>
      </c>
      <c r="F8" s="9">
        <v>0.77083333333333337</v>
      </c>
      <c r="G8" s="8">
        <v>19963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19981</v>
      </c>
      <c r="L8" s="30">
        <f>IF(AND(L7&lt;&gt;"",K8&lt;&gt;""),K8-K7,"")</f>
        <v>2</v>
      </c>
      <c r="M8" s="43">
        <f t="shared" si="3"/>
        <v>38357</v>
      </c>
      <c r="N8" s="13" t="s">
        <v>25</v>
      </c>
      <c r="O8" s="12">
        <v>20032</v>
      </c>
      <c r="P8" s="23">
        <f t="shared" si="4"/>
        <v>0</v>
      </c>
      <c r="R8" s="123" t="s">
        <v>12</v>
      </c>
    </row>
    <row r="9" spans="1:18" x14ac:dyDescent="0.2">
      <c r="A9" s="1" t="s">
        <v>375</v>
      </c>
      <c r="B9" s="26">
        <v>80.180000000000007</v>
      </c>
      <c r="E9" s="38">
        <f t="shared" si="1"/>
        <v>39392</v>
      </c>
      <c r="F9" s="9">
        <v>0.77083333333333337</v>
      </c>
      <c r="G9" s="8">
        <v>19963</v>
      </c>
      <c r="H9" s="75">
        <f t="shared" si="0"/>
        <v>0</v>
      </c>
      <c r="I9" s="41">
        <f t="shared" si="2"/>
        <v>38692</v>
      </c>
      <c r="J9" s="11">
        <v>0.77083333333333337</v>
      </c>
      <c r="K9" s="10">
        <v>19983</v>
      </c>
      <c r="L9" s="30">
        <f>IF(AND(L8&lt;&gt;"",K9&lt;&gt;""),K9-K8,"")</f>
        <v>2</v>
      </c>
      <c r="M9" s="43">
        <f t="shared" si="3"/>
        <v>38358</v>
      </c>
      <c r="N9" s="13" t="s">
        <v>83</v>
      </c>
      <c r="O9" s="12">
        <v>20032</v>
      </c>
      <c r="P9" s="23">
        <f t="shared" si="4"/>
        <v>0</v>
      </c>
      <c r="R9" s="72">
        <f>SUM(P4:P34)</f>
        <v>62</v>
      </c>
    </row>
    <row r="10" spans="1:18" x14ac:dyDescent="0.2">
      <c r="A10" s="1" t="s">
        <v>374</v>
      </c>
      <c r="B10" s="26">
        <v>65.040000000000006</v>
      </c>
      <c r="C10" s="128" t="s">
        <v>360</v>
      </c>
      <c r="D10" s="128"/>
      <c r="E10" s="38">
        <f t="shared" si="1"/>
        <v>39393</v>
      </c>
      <c r="F10" s="9">
        <v>0.77083333333333337</v>
      </c>
      <c r="G10" s="8">
        <v>19963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19985</v>
      </c>
      <c r="L10" s="30">
        <f t="shared" ref="L10:L35" si="5">IF(AND(L9&lt;&gt;"",K10&lt;&gt;""),K10-K9,"")</f>
        <v>2</v>
      </c>
      <c r="M10" s="43">
        <f t="shared" si="3"/>
        <v>38359</v>
      </c>
      <c r="N10" s="13" t="s">
        <v>290</v>
      </c>
      <c r="O10" s="12">
        <v>20034</v>
      </c>
      <c r="P10" s="23">
        <f t="shared" si="4"/>
        <v>2</v>
      </c>
      <c r="R10" s="123" t="s">
        <v>13</v>
      </c>
    </row>
    <row r="11" spans="1:18" x14ac:dyDescent="0.2">
      <c r="A11" s="63" t="s">
        <v>361</v>
      </c>
      <c r="B11" s="64">
        <f>SUM(B5:B10)</f>
        <v>249.95000000000005</v>
      </c>
      <c r="C11" s="3"/>
      <c r="D11" s="3"/>
      <c r="E11" s="38">
        <f t="shared" si="1"/>
        <v>39394</v>
      </c>
      <c r="F11" s="9">
        <v>0.77083333333333337</v>
      </c>
      <c r="G11" s="8">
        <v>19963</v>
      </c>
      <c r="H11" s="75">
        <f t="shared" si="0"/>
        <v>0</v>
      </c>
      <c r="I11" s="41">
        <f t="shared" si="2"/>
        <v>38694</v>
      </c>
      <c r="J11" s="11" t="s">
        <v>25</v>
      </c>
      <c r="K11" s="10">
        <v>19985</v>
      </c>
      <c r="L11" s="30">
        <f t="shared" si="5"/>
        <v>0</v>
      </c>
      <c r="M11" s="43">
        <f t="shared" si="3"/>
        <v>38360</v>
      </c>
      <c r="N11" s="13" t="s">
        <v>290</v>
      </c>
      <c r="O11" s="12">
        <v>20037</v>
      </c>
      <c r="P11" s="23">
        <f t="shared" si="4"/>
        <v>3</v>
      </c>
      <c r="R11" s="72">
        <f>SUM(H38:H66)</f>
        <v>39</v>
      </c>
    </row>
    <row r="12" spans="1:18" x14ac:dyDescent="0.2">
      <c r="E12" s="38">
        <f t="shared" si="1"/>
        <v>39395</v>
      </c>
      <c r="F12" s="9">
        <v>0.77083333333333337</v>
      </c>
      <c r="G12" s="8">
        <v>19963</v>
      </c>
      <c r="H12" s="75">
        <f t="shared" si="0"/>
        <v>0</v>
      </c>
      <c r="I12" s="41">
        <f t="shared" si="2"/>
        <v>38695</v>
      </c>
      <c r="J12" s="11" t="s">
        <v>26</v>
      </c>
      <c r="K12" s="10">
        <v>19985</v>
      </c>
      <c r="L12" s="30">
        <f t="shared" si="5"/>
        <v>0</v>
      </c>
      <c r="M12" s="43">
        <f t="shared" si="3"/>
        <v>38361</v>
      </c>
      <c r="N12" s="13" t="s">
        <v>290</v>
      </c>
      <c r="O12" s="12">
        <v>20040</v>
      </c>
      <c r="P12" s="23">
        <f t="shared" si="4"/>
        <v>3</v>
      </c>
      <c r="R12" s="123" t="s">
        <v>14</v>
      </c>
    </row>
    <row r="13" spans="1:18" x14ac:dyDescent="0.2">
      <c r="A13" s="1" t="s">
        <v>362</v>
      </c>
      <c r="B13" s="27">
        <f>(MAX(G3:G33,K4:K34,O4:O34,G38:G65,K38:K68,O38:O67)-MIN(G4,G35))</f>
        <v>177</v>
      </c>
      <c r="C13" s="3"/>
      <c r="D13" s="3"/>
      <c r="E13" s="38">
        <f t="shared" si="1"/>
        <v>39396</v>
      </c>
      <c r="F13" s="9" t="s">
        <v>25</v>
      </c>
      <c r="G13" s="8">
        <v>19963</v>
      </c>
      <c r="H13" s="75">
        <f t="shared" si="0"/>
        <v>0</v>
      </c>
      <c r="I13" s="41">
        <f t="shared" si="2"/>
        <v>38696</v>
      </c>
      <c r="J13" s="11">
        <v>0.77083333333333337</v>
      </c>
      <c r="K13" s="10">
        <v>19987</v>
      </c>
      <c r="L13" s="30">
        <f t="shared" si="5"/>
        <v>2</v>
      </c>
      <c r="M13" s="43">
        <f t="shared" si="3"/>
        <v>38362</v>
      </c>
      <c r="N13" s="13" t="s">
        <v>290</v>
      </c>
      <c r="O13" s="12">
        <v>20042</v>
      </c>
      <c r="P13" s="23">
        <f>IF(AND(P12&lt;&gt;"",O13&lt;&gt;""),O13-O12,"")</f>
        <v>2</v>
      </c>
      <c r="R13" s="72">
        <f>IF(H65="",0,SUM(L38:L68))</f>
        <v>18</v>
      </c>
    </row>
    <row r="14" spans="1:18" x14ac:dyDescent="0.2">
      <c r="A14" s="1" t="s">
        <v>350</v>
      </c>
      <c r="B14" s="2">
        <f>(MAX(G4:G33,K4:K34)-'1718'!O4)*B69</f>
        <v>313.54493300000001</v>
      </c>
      <c r="C14" s="118" t="s">
        <v>205</v>
      </c>
      <c r="D14" s="119"/>
      <c r="E14" s="38">
        <f t="shared" si="1"/>
        <v>39397</v>
      </c>
      <c r="F14" s="9" t="s">
        <v>26</v>
      </c>
      <c r="G14" s="8">
        <v>19963</v>
      </c>
      <c r="H14" s="75">
        <f t="shared" si="0"/>
        <v>0</v>
      </c>
      <c r="I14" s="41">
        <f t="shared" si="2"/>
        <v>38697</v>
      </c>
      <c r="J14" s="11">
        <v>0.77083333333333337</v>
      </c>
      <c r="K14" s="10">
        <v>19989</v>
      </c>
      <c r="L14" s="30">
        <f t="shared" si="5"/>
        <v>2</v>
      </c>
      <c r="M14" s="43">
        <f t="shared" si="3"/>
        <v>38363</v>
      </c>
      <c r="N14" s="13" t="s">
        <v>290</v>
      </c>
      <c r="O14" s="12">
        <v>20044</v>
      </c>
      <c r="P14" s="23">
        <f t="shared" si="4"/>
        <v>2</v>
      </c>
      <c r="R14" s="123" t="s">
        <v>21</v>
      </c>
    </row>
    <row r="15" spans="1:18" x14ac:dyDescent="0.2">
      <c r="A15" s="1" t="s">
        <v>363</v>
      </c>
      <c r="B15" s="2">
        <f>IF(O4="",0,((MAX(O4:O34,G38:G68,K38:K68,O38:O68))-O4)*B69)</f>
        <v>121.53696100000001</v>
      </c>
      <c r="C15" s="3"/>
      <c r="D15" s="3"/>
      <c r="E15" s="38">
        <f t="shared" si="1"/>
        <v>39398</v>
      </c>
      <c r="F15" s="9">
        <v>0.77083333333333337</v>
      </c>
      <c r="G15" s="8">
        <v>19963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19990</v>
      </c>
      <c r="L15" s="30">
        <f t="shared" si="5"/>
        <v>1</v>
      </c>
      <c r="M15" s="43">
        <f t="shared" si="3"/>
        <v>38364</v>
      </c>
      <c r="N15" s="13" t="s">
        <v>25</v>
      </c>
      <c r="O15" s="12">
        <v>20044</v>
      </c>
      <c r="P15" s="23">
        <f t="shared" si="4"/>
        <v>0</v>
      </c>
      <c r="R15" s="72">
        <f>IF(H67="",0,SUM(L40:L70))</f>
        <v>0</v>
      </c>
    </row>
    <row r="16" spans="1:18" ht="13.5" thickBot="1" x14ac:dyDescent="0.25">
      <c r="C16" s="3"/>
      <c r="D16" s="3"/>
      <c r="E16" s="38">
        <f t="shared" si="1"/>
        <v>39399</v>
      </c>
      <c r="F16" s="9">
        <v>0.77083333333333337</v>
      </c>
      <c r="G16" s="8">
        <v>19963</v>
      </c>
      <c r="H16" s="75">
        <f t="shared" si="0"/>
        <v>0</v>
      </c>
      <c r="I16" s="41">
        <f t="shared" si="2"/>
        <v>38699</v>
      </c>
      <c r="J16" s="11">
        <v>0.77083333333333337</v>
      </c>
      <c r="K16" s="10">
        <v>19993</v>
      </c>
      <c r="L16" s="30">
        <f t="shared" si="5"/>
        <v>3</v>
      </c>
      <c r="M16" s="43">
        <f t="shared" si="3"/>
        <v>38365</v>
      </c>
      <c r="N16" s="13" t="s">
        <v>26</v>
      </c>
      <c r="O16" s="12">
        <v>20044</v>
      </c>
      <c r="P16" s="23">
        <f t="shared" si="4"/>
        <v>0</v>
      </c>
    </row>
    <row r="17" spans="1:18" ht="14.25" thickTop="1" thickBot="1" x14ac:dyDescent="0.25">
      <c r="A17" s="1" t="s">
        <v>58</v>
      </c>
      <c r="B17" s="2">
        <v>20187</v>
      </c>
      <c r="C17" s="106" t="s">
        <v>360</v>
      </c>
      <c r="D17" s="105">
        <v>43585</v>
      </c>
      <c r="E17" s="38">
        <f t="shared" si="1"/>
        <v>39400</v>
      </c>
      <c r="F17" s="9">
        <v>0.77083333333333337</v>
      </c>
      <c r="G17" s="8">
        <v>19963</v>
      </c>
      <c r="H17" s="75">
        <f t="shared" si="0"/>
        <v>0</v>
      </c>
      <c r="I17" s="41">
        <f t="shared" si="2"/>
        <v>38700</v>
      </c>
      <c r="J17" s="11">
        <v>0.77083333333333337</v>
      </c>
      <c r="K17" s="10">
        <v>19996</v>
      </c>
      <c r="L17" s="30">
        <f t="shared" si="5"/>
        <v>3</v>
      </c>
      <c r="M17" s="43">
        <f t="shared" si="3"/>
        <v>38366</v>
      </c>
      <c r="N17" s="13" t="s">
        <v>290</v>
      </c>
      <c r="O17" s="12">
        <v>20047</v>
      </c>
      <c r="P17" s="23">
        <f t="shared" si="4"/>
        <v>3</v>
      </c>
      <c r="R17" s="123" t="s">
        <v>372</v>
      </c>
    </row>
    <row r="18" spans="1:18" ht="13.5" thickTop="1" x14ac:dyDescent="0.2">
      <c r="A18" s="1" t="s">
        <v>368</v>
      </c>
      <c r="B18" s="2">
        <f>(B17-('1718'!O4))*B69</f>
        <v>483.08388700000006</v>
      </c>
      <c r="C18" s="118"/>
      <c r="D18" s="118"/>
      <c r="E18" s="38">
        <f t="shared" si="1"/>
        <v>39401</v>
      </c>
      <c r="F18" s="9">
        <v>0.77083333333333337</v>
      </c>
      <c r="G18" s="8">
        <v>19963</v>
      </c>
      <c r="H18" s="75">
        <f t="shared" si="0"/>
        <v>0</v>
      </c>
      <c r="I18" s="41">
        <f t="shared" si="2"/>
        <v>38701</v>
      </c>
      <c r="J18" s="11" t="s">
        <v>25</v>
      </c>
      <c r="K18" s="10">
        <v>19996</v>
      </c>
      <c r="L18" s="30">
        <f t="shared" si="5"/>
        <v>0</v>
      </c>
      <c r="M18" s="43">
        <f t="shared" si="3"/>
        <v>38367</v>
      </c>
      <c r="N18" s="13" t="s">
        <v>290</v>
      </c>
      <c r="O18" s="12">
        <v>20049</v>
      </c>
      <c r="P18" s="23">
        <f t="shared" si="4"/>
        <v>2</v>
      </c>
      <c r="R18" s="124">
        <f>R5+R7+R9+R11+R13+R15</f>
        <v>177</v>
      </c>
    </row>
    <row r="19" spans="1:18" x14ac:dyDescent="0.2">
      <c r="A19" s="1" t="s">
        <v>369</v>
      </c>
      <c r="B19" s="2">
        <f>IF(OR(O4&gt;B17,O4=""),0,B17-K34)</f>
        <v>166</v>
      </c>
      <c r="C19" s="3"/>
      <c r="D19" s="3"/>
      <c r="E19" s="38">
        <f t="shared" si="1"/>
        <v>39402</v>
      </c>
      <c r="F19" s="9">
        <v>0.77083333333333337</v>
      </c>
      <c r="G19" s="8">
        <v>19963</v>
      </c>
      <c r="H19" s="75">
        <f t="shared" si="0"/>
        <v>0</v>
      </c>
      <c r="I19" s="41">
        <f t="shared" si="2"/>
        <v>38702</v>
      </c>
      <c r="J19" s="11" t="s">
        <v>26</v>
      </c>
      <c r="K19" s="10">
        <v>19996</v>
      </c>
      <c r="L19" s="30">
        <f t="shared" si="5"/>
        <v>0</v>
      </c>
      <c r="M19" s="43">
        <f t="shared" si="3"/>
        <v>38368</v>
      </c>
      <c r="N19" s="13" t="s">
        <v>290</v>
      </c>
      <c r="O19" s="12">
        <v>20052</v>
      </c>
      <c r="P19" s="23">
        <f t="shared" si="4"/>
        <v>3</v>
      </c>
    </row>
    <row r="20" spans="1:18" x14ac:dyDescent="0.2">
      <c r="E20" s="38">
        <f t="shared" si="1"/>
        <v>39403</v>
      </c>
      <c r="F20" s="9" t="s">
        <v>25</v>
      </c>
      <c r="G20" s="8">
        <v>19963</v>
      </c>
      <c r="H20" s="75">
        <f t="shared" si="0"/>
        <v>0</v>
      </c>
      <c r="I20" s="41">
        <f t="shared" si="2"/>
        <v>38703</v>
      </c>
      <c r="J20" s="11">
        <v>0.77083333333333337</v>
      </c>
      <c r="K20" s="10">
        <v>19999</v>
      </c>
      <c r="L20" s="30">
        <f t="shared" si="5"/>
        <v>3</v>
      </c>
      <c r="M20" s="43">
        <f t="shared" si="3"/>
        <v>38369</v>
      </c>
      <c r="N20" s="13" t="s">
        <v>290</v>
      </c>
      <c r="O20" s="12">
        <v>20054</v>
      </c>
      <c r="P20" s="23">
        <f t="shared" si="4"/>
        <v>2</v>
      </c>
    </row>
    <row r="21" spans="1:18" x14ac:dyDescent="0.2">
      <c r="A21" s="1" t="s">
        <v>351</v>
      </c>
      <c r="B21" s="2">
        <f>IF(AND(B14&gt;480,B18&lt;480),480-B18,0)</f>
        <v>0</v>
      </c>
      <c r="C21" s="3"/>
      <c r="D21" s="3"/>
      <c r="E21" s="38">
        <f t="shared" si="1"/>
        <v>39404</v>
      </c>
      <c r="F21" s="9" t="s">
        <v>26</v>
      </c>
      <c r="G21" s="8">
        <v>19963</v>
      </c>
      <c r="H21" s="75">
        <f t="shared" si="0"/>
        <v>0</v>
      </c>
      <c r="I21" s="41">
        <f t="shared" si="2"/>
        <v>38704</v>
      </c>
      <c r="J21" s="11">
        <v>0.77083333333333337</v>
      </c>
      <c r="K21" s="10">
        <v>20002</v>
      </c>
      <c r="L21" s="30">
        <f t="shared" si="5"/>
        <v>3</v>
      </c>
      <c r="M21" s="43">
        <f t="shared" si="3"/>
        <v>38370</v>
      </c>
      <c r="N21" s="13" t="s">
        <v>290</v>
      </c>
      <c r="O21" s="12">
        <v>20057</v>
      </c>
      <c r="P21" s="23">
        <f t="shared" si="4"/>
        <v>3</v>
      </c>
    </row>
    <row r="22" spans="1:18" x14ac:dyDescent="0.2">
      <c r="A22" s="1" t="s">
        <v>352</v>
      </c>
      <c r="B22" s="2">
        <f>IF(AND(B15&gt;0,B19=0),(K34-B17-B21)*B69,120)</f>
        <v>120</v>
      </c>
      <c r="C22" s="3"/>
      <c r="D22" s="3"/>
      <c r="E22" s="38">
        <f t="shared" si="1"/>
        <v>39405</v>
      </c>
      <c r="F22" s="9">
        <v>0.77083333333333337</v>
      </c>
      <c r="G22" s="8">
        <v>19963</v>
      </c>
      <c r="H22" s="75">
        <f t="shared" si="0"/>
        <v>0</v>
      </c>
      <c r="I22" s="41">
        <f t="shared" si="2"/>
        <v>38705</v>
      </c>
      <c r="J22" s="11">
        <v>0.77083333333333337</v>
      </c>
      <c r="K22" s="10">
        <v>20005</v>
      </c>
      <c r="L22" s="30">
        <f t="shared" si="5"/>
        <v>3</v>
      </c>
      <c r="M22" s="43">
        <f t="shared" si="3"/>
        <v>38371</v>
      </c>
      <c r="N22" s="13" t="s">
        <v>25</v>
      </c>
      <c r="O22" s="12">
        <v>20057</v>
      </c>
      <c r="P22" s="23">
        <f t="shared" si="4"/>
        <v>0</v>
      </c>
    </row>
    <row r="23" spans="1:18" x14ac:dyDescent="0.2">
      <c r="A23" s="1" t="s">
        <v>353</v>
      </c>
      <c r="B23" s="104"/>
      <c r="C23" s="104"/>
      <c r="E23" s="38">
        <f t="shared" si="1"/>
        <v>39406</v>
      </c>
      <c r="F23" s="9">
        <v>0.77083333333333337</v>
      </c>
      <c r="G23" s="8">
        <v>19963</v>
      </c>
      <c r="H23" s="75">
        <f t="shared" si="0"/>
        <v>0</v>
      </c>
      <c r="I23" s="41">
        <f t="shared" si="2"/>
        <v>38706</v>
      </c>
      <c r="J23" s="11">
        <v>0.77083333333333337</v>
      </c>
      <c r="K23" s="10">
        <v>20008</v>
      </c>
      <c r="L23" s="30">
        <f t="shared" si="5"/>
        <v>3</v>
      </c>
      <c r="M23" s="43">
        <f t="shared" si="3"/>
        <v>38372</v>
      </c>
      <c r="N23" s="13" t="s">
        <v>26</v>
      </c>
      <c r="O23" s="12">
        <v>20057</v>
      </c>
      <c r="P23" s="23">
        <f t="shared" si="4"/>
        <v>0</v>
      </c>
    </row>
    <row r="24" spans="1:18" x14ac:dyDescent="0.2">
      <c r="A24" s="1" t="s">
        <v>354</v>
      </c>
      <c r="B24" s="104">
        <f>IF(B15=0,0,B15-120)</f>
        <v>1.5369610000000051</v>
      </c>
      <c r="E24" s="38">
        <f t="shared" si="1"/>
        <v>39407</v>
      </c>
      <c r="F24" s="9">
        <v>0.77083333333333337</v>
      </c>
      <c r="G24" s="8">
        <v>19966</v>
      </c>
      <c r="H24" s="75">
        <f t="shared" si="0"/>
        <v>3</v>
      </c>
      <c r="I24" s="41">
        <f t="shared" si="2"/>
        <v>38707</v>
      </c>
      <c r="J24" s="11">
        <v>0.77083333333333337</v>
      </c>
      <c r="K24" s="10">
        <v>20010</v>
      </c>
      <c r="L24" s="30">
        <f t="shared" si="5"/>
        <v>2</v>
      </c>
      <c r="M24" s="43">
        <f t="shared" si="3"/>
        <v>38373</v>
      </c>
      <c r="N24" s="13" t="s">
        <v>290</v>
      </c>
      <c r="O24" s="12">
        <v>20059</v>
      </c>
      <c r="P24" s="23">
        <f t="shared" si="4"/>
        <v>2</v>
      </c>
    </row>
    <row r="25" spans="1:18" x14ac:dyDescent="0.2">
      <c r="A25" s="1" t="s">
        <v>355</v>
      </c>
      <c r="B25" s="104"/>
      <c r="E25" s="38">
        <f t="shared" si="1"/>
        <v>39408</v>
      </c>
      <c r="F25" s="9">
        <v>0.77083333333333337</v>
      </c>
      <c r="G25" s="8">
        <v>19968</v>
      </c>
      <c r="H25" s="75">
        <f t="shared" si="0"/>
        <v>2</v>
      </c>
      <c r="I25" s="41">
        <f t="shared" si="2"/>
        <v>38708</v>
      </c>
      <c r="J25" s="11" t="s">
        <v>25</v>
      </c>
      <c r="K25" s="10">
        <v>20010</v>
      </c>
      <c r="L25" s="30">
        <f t="shared" si="5"/>
        <v>0</v>
      </c>
      <c r="M25" s="43">
        <f t="shared" si="3"/>
        <v>38374</v>
      </c>
      <c r="N25" s="13" t="s">
        <v>290</v>
      </c>
      <c r="O25" s="12">
        <v>20062</v>
      </c>
      <c r="P25" s="23">
        <f t="shared" si="4"/>
        <v>3</v>
      </c>
    </row>
    <row r="26" spans="1:18" x14ac:dyDescent="0.2">
      <c r="E26" s="38">
        <f t="shared" si="1"/>
        <v>39409</v>
      </c>
      <c r="F26" s="9">
        <v>0.77083333333333337</v>
      </c>
      <c r="G26" s="8">
        <v>19968</v>
      </c>
      <c r="H26" s="75">
        <f t="shared" si="0"/>
        <v>0</v>
      </c>
      <c r="I26" s="41">
        <f t="shared" si="2"/>
        <v>38709</v>
      </c>
      <c r="J26" s="11" t="s">
        <v>26</v>
      </c>
      <c r="K26" s="10">
        <v>20010</v>
      </c>
      <c r="L26" s="30">
        <f t="shared" si="5"/>
        <v>0</v>
      </c>
      <c r="M26" s="43">
        <f t="shared" si="3"/>
        <v>38375</v>
      </c>
      <c r="N26" s="13" t="s">
        <v>290</v>
      </c>
      <c r="O26" s="12">
        <v>20065</v>
      </c>
      <c r="P26" s="23">
        <f t="shared" si="4"/>
        <v>3</v>
      </c>
    </row>
    <row r="27" spans="1:18" x14ac:dyDescent="0.2">
      <c r="A27" s="1" t="s">
        <v>370</v>
      </c>
      <c r="B27" s="66" t="s">
        <v>8</v>
      </c>
      <c r="C27" s="67" t="s">
        <v>5</v>
      </c>
      <c r="D27" s="67" t="s">
        <v>6</v>
      </c>
      <c r="E27" s="38">
        <f t="shared" si="1"/>
        <v>39410</v>
      </c>
      <c r="F27" s="9" t="s">
        <v>25</v>
      </c>
      <c r="G27" s="8">
        <v>19968</v>
      </c>
      <c r="H27" s="75">
        <f t="shared" si="0"/>
        <v>0</v>
      </c>
      <c r="I27" s="41">
        <f t="shared" si="2"/>
        <v>38710</v>
      </c>
      <c r="J27" s="11">
        <v>0.77083333333333337</v>
      </c>
      <c r="K27" s="10">
        <v>20015</v>
      </c>
      <c r="L27" s="30">
        <f t="shared" si="5"/>
        <v>5</v>
      </c>
      <c r="M27" s="43">
        <f t="shared" si="3"/>
        <v>38376</v>
      </c>
      <c r="N27" s="13" t="s">
        <v>290</v>
      </c>
      <c r="O27" s="12">
        <v>20067</v>
      </c>
      <c r="P27" s="23">
        <f t="shared" si="4"/>
        <v>2</v>
      </c>
    </row>
    <row r="28" spans="1:18" x14ac:dyDescent="0.2">
      <c r="A28" s="5"/>
      <c r="B28" s="2"/>
      <c r="C28" s="3"/>
      <c r="D28" s="3"/>
      <c r="E28" s="38">
        <f t="shared" si="1"/>
        <v>39411</v>
      </c>
      <c r="F28" s="9" t="s">
        <v>26</v>
      </c>
      <c r="G28" s="8">
        <v>19968</v>
      </c>
      <c r="H28" s="75">
        <f t="shared" si="0"/>
        <v>0</v>
      </c>
      <c r="I28" s="46">
        <f t="shared" si="2"/>
        <v>38711</v>
      </c>
      <c r="J28" s="11" t="s">
        <v>31</v>
      </c>
      <c r="K28" s="10">
        <v>20015</v>
      </c>
      <c r="L28" s="30">
        <f t="shared" si="5"/>
        <v>0</v>
      </c>
      <c r="M28" s="43">
        <f t="shared" si="3"/>
        <v>38377</v>
      </c>
      <c r="N28" s="13" t="s">
        <v>290</v>
      </c>
      <c r="O28" s="12">
        <v>20070</v>
      </c>
      <c r="P28" s="23">
        <f t="shared" si="4"/>
        <v>3</v>
      </c>
    </row>
    <row r="29" spans="1:18" x14ac:dyDescent="0.2">
      <c r="A29" s="1" t="s">
        <v>0</v>
      </c>
      <c r="B29" s="2">
        <f ca="1">SUM(TODAY()-D17)</f>
        <v>1435</v>
      </c>
      <c r="C29" s="3"/>
      <c r="D29" s="3"/>
      <c r="E29" s="38">
        <f t="shared" si="1"/>
        <v>39412</v>
      </c>
      <c r="F29" s="9">
        <v>0.77083333333333337</v>
      </c>
      <c r="G29" s="8">
        <v>19969</v>
      </c>
      <c r="H29" s="75">
        <f t="shared" si="0"/>
        <v>1</v>
      </c>
      <c r="I29" s="41">
        <f t="shared" si="2"/>
        <v>38712</v>
      </c>
      <c r="J29" s="11" t="s">
        <v>332</v>
      </c>
      <c r="K29" s="10">
        <v>20015</v>
      </c>
      <c r="L29" s="30">
        <f t="shared" si="5"/>
        <v>0</v>
      </c>
      <c r="M29" s="43">
        <f t="shared" si="3"/>
        <v>38378</v>
      </c>
      <c r="N29" s="13" t="s">
        <v>25</v>
      </c>
      <c r="O29" s="12">
        <v>20070</v>
      </c>
      <c r="P29" s="23">
        <f t="shared" si="4"/>
        <v>0</v>
      </c>
    </row>
    <row r="30" spans="1:18" x14ac:dyDescent="0.2">
      <c r="A30" s="1" t="s">
        <v>85</v>
      </c>
      <c r="B30" s="2">
        <f>(MAX(G4:G33, K4:K34,O4:O34, G38:G71, K38:K73, O38:O72)-B17)*B69</f>
        <v>-48.001993000000006</v>
      </c>
      <c r="C30" s="3"/>
      <c r="D30" s="3"/>
      <c r="E30" s="38">
        <f t="shared" si="1"/>
        <v>39413</v>
      </c>
      <c r="F30" s="9">
        <v>0.77083333333333337</v>
      </c>
      <c r="G30" s="8">
        <v>19970</v>
      </c>
      <c r="H30" s="75">
        <f t="shared" si="0"/>
        <v>1</v>
      </c>
      <c r="I30" s="41">
        <f>I29+1</f>
        <v>38713</v>
      </c>
      <c r="J30" s="11">
        <v>0.77083333333333337</v>
      </c>
      <c r="K30" s="10">
        <v>20018</v>
      </c>
      <c r="L30" s="30">
        <f t="shared" si="5"/>
        <v>3</v>
      </c>
      <c r="M30" s="43">
        <f>M29+1</f>
        <v>38379</v>
      </c>
      <c r="N30" s="13" t="s">
        <v>26</v>
      </c>
      <c r="O30" s="12">
        <v>20070</v>
      </c>
      <c r="P30" s="23">
        <f t="shared" si="4"/>
        <v>0</v>
      </c>
    </row>
    <row r="31" spans="1:18" x14ac:dyDescent="0.2">
      <c r="A31" s="1" t="s">
        <v>295</v>
      </c>
      <c r="B31" s="2">
        <f>IF((B15&gt;120),0,B30)</f>
        <v>0</v>
      </c>
      <c r="C31" s="3">
        <f>B55</f>
        <v>0.27385999999999999</v>
      </c>
      <c r="D31" s="3">
        <f>(B31*C31)</f>
        <v>0</v>
      </c>
      <c r="E31" s="38">
        <f t="shared" si="1"/>
        <v>39414</v>
      </c>
      <c r="F31" s="9">
        <v>0.77083333333333337</v>
      </c>
      <c r="G31" s="8">
        <v>19972</v>
      </c>
      <c r="H31" s="75">
        <f t="shared" si="0"/>
        <v>2</v>
      </c>
      <c r="I31" s="41">
        <f>I30+1</f>
        <v>38714</v>
      </c>
      <c r="J31" s="11">
        <v>0.77083333333333337</v>
      </c>
      <c r="K31" s="10">
        <v>20021</v>
      </c>
      <c r="L31" s="30">
        <f t="shared" si="5"/>
        <v>3</v>
      </c>
      <c r="M31" s="43">
        <f>M30+1</f>
        <v>38380</v>
      </c>
      <c r="N31" s="13" t="s">
        <v>290</v>
      </c>
      <c r="O31" s="12">
        <v>20074</v>
      </c>
      <c r="P31" s="23">
        <f t="shared" si="4"/>
        <v>4</v>
      </c>
    </row>
    <row r="32" spans="1:18" x14ac:dyDescent="0.2">
      <c r="A32" s="1" t="s">
        <v>296</v>
      </c>
      <c r="B32" s="121">
        <f>IF(AND(B15&gt;120,B14&lt;480),(B30),0)</f>
        <v>-48.001993000000006</v>
      </c>
      <c r="C32" s="3">
        <f>B56</f>
        <v>0.27385999999999999</v>
      </c>
      <c r="D32" s="3">
        <f>(B32*C32)</f>
        <v>-13.145825802980001</v>
      </c>
      <c r="E32" s="38">
        <f t="shared" si="1"/>
        <v>39415</v>
      </c>
      <c r="F32" s="9">
        <v>0.77083333333333337</v>
      </c>
      <c r="G32" s="8">
        <v>19972</v>
      </c>
      <c r="H32" s="75">
        <f t="shared" si="0"/>
        <v>0</v>
      </c>
      <c r="I32" s="41">
        <f>I31+1</f>
        <v>38715</v>
      </c>
      <c r="J32" s="11" t="s">
        <v>25</v>
      </c>
      <c r="K32" s="10">
        <v>20021</v>
      </c>
      <c r="L32" s="30">
        <f t="shared" si="5"/>
        <v>0</v>
      </c>
      <c r="M32" s="43">
        <f>M31+1</f>
        <v>38381</v>
      </c>
      <c r="N32" s="13" t="s">
        <v>290</v>
      </c>
      <c r="O32" s="12">
        <v>20076</v>
      </c>
      <c r="P32" s="23">
        <f t="shared" si="4"/>
        <v>2</v>
      </c>
    </row>
    <row r="33" spans="1:16" x14ac:dyDescent="0.2">
      <c r="A33" s="1" t="s">
        <v>297</v>
      </c>
      <c r="B33" s="2">
        <f>IF(K34&lt;O4,0,0)</f>
        <v>0</v>
      </c>
      <c r="C33" s="3">
        <f>B57</f>
        <v>0.27385999999999999</v>
      </c>
      <c r="D33" s="3">
        <f>(B33*C33)</f>
        <v>0</v>
      </c>
      <c r="E33" s="38">
        <f t="shared" si="1"/>
        <v>39416</v>
      </c>
      <c r="F33" s="9">
        <v>0.77083333333333337</v>
      </c>
      <c r="G33" s="8">
        <v>19974</v>
      </c>
      <c r="H33" s="75">
        <f t="shared" si="0"/>
        <v>2</v>
      </c>
      <c r="I33" s="41">
        <f>I32+1</f>
        <v>38716</v>
      </c>
      <c r="J33" s="11" t="s">
        <v>26</v>
      </c>
      <c r="K33" s="10">
        <v>20021</v>
      </c>
      <c r="L33" s="30">
        <f t="shared" si="5"/>
        <v>0</v>
      </c>
      <c r="M33" s="43">
        <f>M32+1</f>
        <v>38382</v>
      </c>
      <c r="N33" s="13" t="s">
        <v>290</v>
      </c>
      <c r="O33" s="12">
        <v>20080</v>
      </c>
      <c r="P33" s="23">
        <f t="shared" si="4"/>
        <v>4</v>
      </c>
    </row>
    <row r="34" spans="1:16" x14ac:dyDescent="0.2">
      <c r="A34" s="1" t="s">
        <v>311</v>
      </c>
      <c r="B34" s="2">
        <f>B31</f>
        <v>0</v>
      </c>
      <c r="C34" s="68">
        <v>7.9459999999999999E-3</v>
      </c>
      <c r="D34" s="3">
        <f>(B34*C34)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>
        <v>0.77083333333333337</v>
      </c>
      <c r="K34" s="10">
        <v>20021</v>
      </c>
      <c r="L34" s="30">
        <f t="shared" si="5"/>
        <v>0</v>
      </c>
      <c r="M34" s="43">
        <f>M33+1</f>
        <v>38383</v>
      </c>
      <c r="N34" s="13" t="s">
        <v>290</v>
      </c>
      <c r="O34" s="12">
        <v>20083</v>
      </c>
      <c r="P34" s="23">
        <f t="shared" si="4"/>
        <v>3</v>
      </c>
    </row>
    <row r="35" spans="1:16" ht="13.5" thickBot="1" x14ac:dyDescent="0.25">
      <c r="A35" s="1" t="s">
        <v>312</v>
      </c>
      <c r="B35" s="2">
        <f>B32</f>
        <v>-48.001993000000006</v>
      </c>
      <c r="C35" s="68">
        <v>7.9459999999999999E-3</v>
      </c>
      <c r="D35" s="3">
        <f t="shared" ref="D35:D49" si="6">B35*C35</f>
        <v>-0.38142383637800004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313</v>
      </c>
      <c r="B36" s="2">
        <f>B33</f>
        <v>0</v>
      </c>
      <c r="C36" s="68">
        <v>7.9459999999999999E-3</v>
      </c>
      <c r="D36" s="3">
        <f t="shared" si="6"/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301</v>
      </c>
      <c r="B37" s="2">
        <f t="shared" ref="B37:B42" si="7">B31</f>
        <v>0</v>
      </c>
      <c r="C37" s="3">
        <v>5.9560000000000002E-2</v>
      </c>
      <c r="D37" s="3">
        <f t="shared" si="6"/>
        <v>0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302</v>
      </c>
      <c r="B38" s="2">
        <f t="shared" si="7"/>
        <v>-48.001993000000006</v>
      </c>
      <c r="C38" s="3">
        <f>0.0376+0.002474+0.00642+0.0001</f>
        <v>4.6594000000000003E-2</v>
      </c>
      <c r="D38" s="3">
        <f t="shared" si="6"/>
        <v>-2.2366048618420002</v>
      </c>
      <c r="E38" s="38">
        <v>38384</v>
      </c>
      <c r="F38" s="9">
        <v>0.77083333333333337</v>
      </c>
      <c r="G38" s="8">
        <v>20086</v>
      </c>
      <c r="H38" s="75">
        <f>G38-O34</f>
        <v>3</v>
      </c>
      <c r="I38" s="46">
        <v>38412</v>
      </c>
      <c r="J38" s="11" t="s">
        <v>290</v>
      </c>
      <c r="K38" s="10">
        <v>20123</v>
      </c>
      <c r="L38" s="30">
        <f>IF(AND(H69&lt;&gt;"",K38&lt;&gt;""),K38-K37,K38-MAX(G38:G69))</f>
        <v>1</v>
      </c>
      <c r="M38" s="43">
        <v>38443</v>
      </c>
      <c r="N38" s="13">
        <v>0.77083333333333337</v>
      </c>
      <c r="O38" s="12">
        <v>20140</v>
      </c>
      <c r="P38" s="23">
        <f>IF(AND(L69&lt;&gt;"",O38&lt;&gt;""),O38-O37,O38-MAX(K38:K69))</f>
        <v>0</v>
      </c>
    </row>
    <row r="39" spans="1:16" x14ac:dyDescent="0.2">
      <c r="A39" s="1" t="s">
        <v>303</v>
      </c>
      <c r="B39" s="2">
        <f t="shared" si="7"/>
        <v>0</v>
      </c>
      <c r="C39" s="3">
        <v>5.4514E-2</v>
      </c>
      <c r="D39" s="3">
        <f t="shared" si="6"/>
        <v>0</v>
      </c>
      <c r="E39" s="38">
        <f>E38+1</f>
        <v>38385</v>
      </c>
      <c r="F39" s="9" t="s">
        <v>25</v>
      </c>
      <c r="G39" s="8">
        <v>20086</v>
      </c>
      <c r="H39" s="75">
        <f t="shared" ref="H39:H62" si="8">IF(AND(H38&lt;&gt;"",G39&lt;&gt;""),G39-G38,"")</f>
        <v>0</v>
      </c>
      <c r="I39" s="41">
        <f>I38+1</f>
        <v>38413</v>
      </c>
      <c r="J39" s="11" t="s">
        <v>25</v>
      </c>
      <c r="K39" s="10">
        <v>20123</v>
      </c>
      <c r="L39" s="30">
        <f t="shared" ref="L39:L69" si="9">IF(AND(L38&lt;&gt;"",K39&lt;&gt;""),K39-K38,"")</f>
        <v>0</v>
      </c>
      <c r="M39" s="43">
        <f>M38+1</f>
        <v>38444</v>
      </c>
      <c r="N39" s="13">
        <v>0.77083333333333337</v>
      </c>
      <c r="O39" s="12">
        <v>20140</v>
      </c>
      <c r="P39" s="23">
        <f t="shared" ref="P39:P67" si="10">IF(AND(P38&lt;&gt;"",O39&lt;&gt;""),O39-O38,"")</f>
        <v>0</v>
      </c>
    </row>
    <row r="40" spans="1:16" x14ac:dyDescent="0.2">
      <c r="A40" s="1" t="s">
        <v>292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ref="E40:E65" si="11">E39+1</f>
        <v>38386</v>
      </c>
      <c r="F40" s="9" t="s">
        <v>26</v>
      </c>
      <c r="G40" s="8">
        <v>20086</v>
      </c>
      <c r="H40" s="75">
        <f t="shared" si="8"/>
        <v>0</v>
      </c>
      <c r="I40" s="41">
        <f t="shared" ref="I40:I62" si="12">I39+1</f>
        <v>38414</v>
      </c>
      <c r="J40" s="11" t="s">
        <v>26</v>
      </c>
      <c r="K40" s="10">
        <v>20123</v>
      </c>
      <c r="L40" s="30">
        <f t="shared" si="9"/>
        <v>0</v>
      </c>
      <c r="M40" s="43">
        <f t="shared" ref="M40:M67" si="13">M39+1</f>
        <v>38445</v>
      </c>
      <c r="N40" s="13">
        <v>0.77083333333333337</v>
      </c>
      <c r="O40" s="12"/>
      <c r="P40" s="23" t="str">
        <f t="shared" si="10"/>
        <v/>
      </c>
    </row>
    <row r="41" spans="1:16" x14ac:dyDescent="0.2">
      <c r="A41" s="1" t="s">
        <v>293</v>
      </c>
      <c r="B41" s="2">
        <f t="shared" si="7"/>
        <v>-48.001993000000006</v>
      </c>
      <c r="C41" s="3">
        <v>3.0720999999999998E-2</v>
      </c>
      <c r="D41" s="3">
        <f t="shared" si="6"/>
        <v>-1.4746692269530002</v>
      </c>
      <c r="E41" s="38">
        <f t="shared" si="11"/>
        <v>38387</v>
      </c>
      <c r="F41" s="9">
        <v>0.77083333333333337</v>
      </c>
      <c r="G41" s="8">
        <v>20089</v>
      </c>
      <c r="H41" s="75">
        <f t="shared" si="8"/>
        <v>3</v>
      </c>
      <c r="I41" s="41">
        <f t="shared" si="12"/>
        <v>38415</v>
      </c>
      <c r="J41" s="11" t="s">
        <v>290</v>
      </c>
      <c r="K41" s="10">
        <v>20124</v>
      </c>
      <c r="L41" s="30">
        <f t="shared" si="9"/>
        <v>1</v>
      </c>
      <c r="M41" s="43">
        <f t="shared" si="13"/>
        <v>38446</v>
      </c>
      <c r="N41" s="13">
        <v>0.77083333333333337</v>
      </c>
      <c r="O41" s="12"/>
      <c r="P41" s="23" t="str">
        <f t="shared" si="10"/>
        <v/>
      </c>
    </row>
    <row r="42" spans="1:16" x14ac:dyDescent="0.2">
      <c r="A42" s="1" t="s">
        <v>294</v>
      </c>
      <c r="B42" s="2">
        <f t="shared" si="7"/>
        <v>0</v>
      </c>
      <c r="C42" s="3">
        <v>3.0720999999999998E-2</v>
      </c>
      <c r="D42" s="3">
        <f t="shared" si="6"/>
        <v>0</v>
      </c>
      <c r="E42" s="38">
        <f t="shared" si="11"/>
        <v>38388</v>
      </c>
      <c r="F42" s="9">
        <v>0.77083333333333337</v>
      </c>
      <c r="G42" s="8">
        <v>20091</v>
      </c>
      <c r="H42" s="75">
        <f t="shared" si="8"/>
        <v>2</v>
      </c>
      <c r="I42" s="41">
        <f t="shared" si="12"/>
        <v>38416</v>
      </c>
      <c r="J42" s="11" t="s">
        <v>290</v>
      </c>
      <c r="K42" s="10">
        <v>20124</v>
      </c>
      <c r="L42" s="30">
        <f t="shared" si="9"/>
        <v>0</v>
      </c>
      <c r="M42" s="43">
        <f t="shared" si="13"/>
        <v>38447</v>
      </c>
      <c r="N42" s="13">
        <v>0.77083333333333337</v>
      </c>
      <c r="O42" s="12"/>
      <c r="P42" s="23" t="str">
        <f t="shared" si="10"/>
        <v/>
      </c>
    </row>
    <row r="43" spans="1:16" x14ac:dyDescent="0.2">
      <c r="A43" s="1" t="s">
        <v>323</v>
      </c>
      <c r="B43" s="2">
        <f ca="1">B29</f>
        <v>1435</v>
      </c>
      <c r="C43" s="70">
        <f>(B63+B64+B65)/365</f>
        <v>0.2233698630136986</v>
      </c>
      <c r="D43" s="3">
        <f t="shared" ca="1" si="6"/>
        <v>320.53575342465751</v>
      </c>
      <c r="E43" s="38">
        <f t="shared" si="11"/>
        <v>38389</v>
      </c>
      <c r="F43" s="9">
        <v>0.77083333333333337</v>
      </c>
      <c r="G43" s="8">
        <v>20093</v>
      </c>
      <c r="H43" s="75">
        <f t="shared" si="8"/>
        <v>2</v>
      </c>
      <c r="I43" s="41">
        <f t="shared" si="12"/>
        <v>38417</v>
      </c>
      <c r="J43" s="11" t="s">
        <v>290</v>
      </c>
      <c r="K43" s="10">
        <v>20126</v>
      </c>
      <c r="L43" s="30">
        <f t="shared" si="9"/>
        <v>2</v>
      </c>
      <c r="M43" s="43">
        <f t="shared" si="13"/>
        <v>38448</v>
      </c>
      <c r="N43" s="13" t="s">
        <v>25</v>
      </c>
      <c r="O43" s="12"/>
      <c r="P43" s="23" t="str">
        <f t="shared" si="10"/>
        <v/>
      </c>
    </row>
    <row r="44" spans="1:16" x14ac:dyDescent="0.2">
      <c r="A44" s="1" t="s">
        <v>22</v>
      </c>
      <c r="B44" s="2">
        <f>B31</f>
        <v>0</v>
      </c>
      <c r="C44" s="3">
        <v>2.6554000000000001E-2</v>
      </c>
      <c r="D44" s="3">
        <f t="shared" si="6"/>
        <v>0</v>
      </c>
      <c r="E44" s="38">
        <f t="shared" si="11"/>
        <v>38390</v>
      </c>
      <c r="F44" s="9">
        <v>0.77083333333333337</v>
      </c>
      <c r="G44" s="8">
        <v>20096</v>
      </c>
      <c r="H44" s="75">
        <f t="shared" si="8"/>
        <v>3</v>
      </c>
      <c r="I44" s="41">
        <f t="shared" si="12"/>
        <v>38418</v>
      </c>
      <c r="J44" s="11" t="s">
        <v>290</v>
      </c>
      <c r="K44" s="10">
        <v>20128</v>
      </c>
      <c r="L44" s="30">
        <f t="shared" si="9"/>
        <v>2</v>
      </c>
      <c r="M44" s="43">
        <f t="shared" si="13"/>
        <v>38449</v>
      </c>
      <c r="N44" s="13" t="s">
        <v>26</v>
      </c>
      <c r="O44" s="12"/>
      <c r="P44" s="23" t="str">
        <f t="shared" si="10"/>
        <v/>
      </c>
    </row>
    <row r="45" spans="1:16" x14ac:dyDescent="0.2">
      <c r="A45" s="1" t="s">
        <v>15</v>
      </c>
      <c r="B45" s="2">
        <f>B32</f>
        <v>-48.001993000000006</v>
      </c>
      <c r="C45" s="3">
        <v>0.125357</v>
      </c>
      <c r="D45" s="3">
        <f t="shared" si="6"/>
        <v>-6.0173858365010009</v>
      </c>
      <c r="E45" s="38">
        <f t="shared" si="11"/>
        <v>38391</v>
      </c>
      <c r="F45" s="9">
        <v>0.77083333333333337</v>
      </c>
      <c r="G45" s="8">
        <v>20099</v>
      </c>
      <c r="H45" s="75">
        <f t="shared" si="8"/>
        <v>3</v>
      </c>
      <c r="I45" s="41">
        <f t="shared" si="12"/>
        <v>38419</v>
      </c>
      <c r="J45" s="11" t="s">
        <v>290</v>
      </c>
      <c r="K45" s="10">
        <v>20129</v>
      </c>
      <c r="L45" s="30">
        <f t="shared" si="9"/>
        <v>1</v>
      </c>
      <c r="M45" s="43">
        <f t="shared" si="13"/>
        <v>38450</v>
      </c>
      <c r="N45" s="13">
        <v>0.77083333333333337</v>
      </c>
      <c r="O45" s="12"/>
      <c r="P45" s="23" t="str">
        <f t="shared" si="10"/>
        <v/>
      </c>
    </row>
    <row r="46" spans="1:16" x14ac:dyDescent="0.2">
      <c r="A46" s="1" t="s">
        <v>17</v>
      </c>
      <c r="B46" s="2">
        <f>B33</f>
        <v>0</v>
      </c>
      <c r="C46" s="29">
        <v>0.104272</v>
      </c>
      <c r="D46" s="3">
        <f t="shared" si="6"/>
        <v>0</v>
      </c>
      <c r="E46" s="38">
        <f t="shared" si="11"/>
        <v>38392</v>
      </c>
      <c r="F46" s="9" t="s">
        <v>25</v>
      </c>
      <c r="G46" s="8">
        <v>20099</v>
      </c>
      <c r="H46" s="75">
        <f t="shared" si="8"/>
        <v>0</v>
      </c>
      <c r="I46" s="41">
        <f t="shared" si="12"/>
        <v>38420</v>
      </c>
      <c r="J46" s="11" t="s">
        <v>25</v>
      </c>
      <c r="K46" s="10">
        <v>20129</v>
      </c>
      <c r="L46" s="30">
        <f t="shared" si="9"/>
        <v>0</v>
      </c>
      <c r="M46" s="43">
        <f t="shared" si="13"/>
        <v>38451</v>
      </c>
      <c r="N46" s="13">
        <v>0.77083333333333337</v>
      </c>
      <c r="O46" s="12"/>
      <c r="P46" s="23" t="str">
        <f t="shared" si="10"/>
        <v/>
      </c>
    </row>
    <row r="47" spans="1:16" x14ac:dyDescent="0.2">
      <c r="A47" s="1" t="s">
        <v>314</v>
      </c>
      <c r="B47" s="104">
        <f>B31</f>
        <v>0</v>
      </c>
      <c r="C47" s="120">
        <f>B59</f>
        <v>4.3999999999999997E-2</v>
      </c>
      <c r="D47" s="3">
        <f t="shared" si="6"/>
        <v>0</v>
      </c>
      <c r="E47" s="38">
        <f t="shared" si="11"/>
        <v>38393</v>
      </c>
      <c r="F47" s="9" t="s">
        <v>26</v>
      </c>
      <c r="G47" s="8">
        <v>20099</v>
      </c>
      <c r="H47" s="75">
        <f t="shared" si="8"/>
        <v>0</v>
      </c>
      <c r="I47" s="41">
        <f t="shared" si="12"/>
        <v>38421</v>
      </c>
      <c r="J47" s="11" t="s">
        <v>26</v>
      </c>
      <c r="K47" s="10">
        <v>20129</v>
      </c>
      <c r="L47" s="30">
        <f t="shared" si="9"/>
        <v>0</v>
      </c>
      <c r="M47" s="43">
        <f t="shared" si="13"/>
        <v>38452</v>
      </c>
      <c r="N47" s="13">
        <v>0.77083333333333337</v>
      </c>
      <c r="O47" s="12"/>
      <c r="P47" s="23" t="str">
        <f t="shared" si="10"/>
        <v/>
      </c>
    </row>
    <row r="48" spans="1:16" x14ac:dyDescent="0.2">
      <c r="A48" s="1" t="s">
        <v>315</v>
      </c>
      <c r="B48" s="2">
        <f>B32</f>
        <v>-48.001993000000006</v>
      </c>
      <c r="C48" s="3">
        <f>B60</f>
        <v>0.17499999999999999</v>
      </c>
      <c r="D48" s="3">
        <f t="shared" si="6"/>
        <v>-8.4003487750000012</v>
      </c>
      <c r="E48" s="38">
        <f t="shared" si="11"/>
        <v>38394</v>
      </c>
      <c r="F48" s="9">
        <v>0.77083333333333337</v>
      </c>
      <c r="G48" s="8">
        <v>20099</v>
      </c>
      <c r="H48" s="75">
        <f t="shared" si="8"/>
        <v>0</v>
      </c>
      <c r="I48" s="41">
        <f t="shared" si="12"/>
        <v>38422</v>
      </c>
      <c r="J48" s="11" t="s">
        <v>290</v>
      </c>
      <c r="K48" s="10">
        <v>20130</v>
      </c>
      <c r="L48" s="30">
        <f t="shared" si="9"/>
        <v>1</v>
      </c>
      <c r="M48" s="43">
        <f t="shared" si="13"/>
        <v>38453</v>
      </c>
      <c r="N48" s="13">
        <v>0.77083333333333337</v>
      </c>
      <c r="O48" s="12"/>
      <c r="P48" s="23" t="str">
        <f t="shared" si="10"/>
        <v/>
      </c>
    </row>
    <row r="49" spans="1:16" x14ac:dyDescent="0.2">
      <c r="A49" s="1" t="s">
        <v>316</v>
      </c>
      <c r="B49" s="104">
        <f>B33</f>
        <v>0</v>
      </c>
      <c r="C49" s="120">
        <f>B61</f>
        <v>0.17</v>
      </c>
      <c r="D49" s="3">
        <f t="shared" si="6"/>
        <v>0</v>
      </c>
      <c r="E49" s="38">
        <f t="shared" si="11"/>
        <v>38395</v>
      </c>
      <c r="F49" s="9">
        <v>0.77083333333333337</v>
      </c>
      <c r="G49" s="8">
        <v>20102</v>
      </c>
      <c r="H49" s="75">
        <f t="shared" si="8"/>
        <v>3</v>
      </c>
      <c r="I49" s="41">
        <f t="shared" si="12"/>
        <v>38423</v>
      </c>
      <c r="J49" s="11" t="s">
        <v>290</v>
      </c>
      <c r="K49" s="10">
        <v>20132</v>
      </c>
      <c r="L49" s="30">
        <f t="shared" si="9"/>
        <v>2</v>
      </c>
      <c r="M49" s="43">
        <f t="shared" si="13"/>
        <v>38454</v>
      </c>
      <c r="N49" s="13">
        <v>0.77083333333333337</v>
      </c>
      <c r="O49" s="12"/>
      <c r="P49" s="23" t="str">
        <f t="shared" si="10"/>
        <v/>
      </c>
    </row>
    <row r="50" spans="1:16" x14ac:dyDescent="0.2">
      <c r="E50" s="38">
        <f t="shared" si="11"/>
        <v>38396</v>
      </c>
      <c r="F50" s="9">
        <v>0.77083333333333337</v>
      </c>
      <c r="G50" s="8">
        <v>20104</v>
      </c>
      <c r="H50" s="75">
        <f t="shared" si="8"/>
        <v>2</v>
      </c>
      <c r="I50" s="41">
        <f t="shared" si="12"/>
        <v>38424</v>
      </c>
      <c r="J50" s="11" t="s">
        <v>290</v>
      </c>
      <c r="K50" s="10">
        <v>20133</v>
      </c>
      <c r="L50" s="30">
        <f t="shared" si="9"/>
        <v>1</v>
      </c>
      <c r="M50" s="43">
        <f t="shared" si="13"/>
        <v>38455</v>
      </c>
      <c r="N50" s="13" t="s">
        <v>25</v>
      </c>
      <c r="O50" s="12"/>
      <c r="P50" s="23" t="str">
        <f t="shared" si="10"/>
        <v/>
      </c>
    </row>
    <row r="51" spans="1:16" x14ac:dyDescent="0.2">
      <c r="E51" s="38">
        <f t="shared" si="11"/>
        <v>38397</v>
      </c>
      <c r="F51" s="9">
        <v>0.77083333333333337</v>
      </c>
      <c r="G51" s="8">
        <v>20107</v>
      </c>
      <c r="H51" s="75">
        <f t="shared" si="8"/>
        <v>3</v>
      </c>
      <c r="I51" s="41">
        <f t="shared" si="12"/>
        <v>38425</v>
      </c>
      <c r="J51" s="11" t="s">
        <v>290</v>
      </c>
      <c r="K51" s="10">
        <v>20134</v>
      </c>
      <c r="L51" s="30">
        <f t="shared" si="9"/>
        <v>1</v>
      </c>
      <c r="M51" s="43">
        <f t="shared" si="13"/>
        <v>38456</v>
      </c>
      <c r="N51" s="13" t="s">
        <v>26</v>
      </c>
      <c r="O51" s="12"/>
      <c r="P51" s="23" t="str">
        <f t="shared" si="10"/>
        <v/>
      </c>
    </row>
    <row r="52" spans="1:16" x14ac:dyDescent="0.2">
      <c r="A52" s="1" t="s">
        <v>96</v>
      </c>
      <c r="B52" s="2"/>
      <c r="C52" s="3"/>
      <c r="D52" s="55">
        <f>(SUM(D31:D32)+SUM(D34:D35)+SUM(D37:D38)+SUM(D40:D41)+SUM(D44+D45+D47+D48))*1.1</f>
        <v>-34.821884173619402</v>
      </c>
      <c r="E52" s="38">
        <f t="shared" si="11"/>
        <v>38398</v>
      </c>
      <c r="F52" s="9">
        <v>0.77083333333333337</v>
      </c>
      <c r="G52" s="8">
        <v>20109</v>
      </c>
      <c r="H52" s="75">
        <f t="shared" si="8"/>
        <v>2</v>
      </c>
      <c r="I52" s="41">
        <f t="shared" si="12"/>
        <v>38426</v>
      </c>
      <c r="J52" s="11" t="s">
        <v>290</v>
      </c>
      <c r="K52" s="10">
        <v>20134</v>
      </c>
      <c r="L52" s="30">
        <f t="shared" si="9"/>
        <v>0</v>
      </c>
      <c r="M52" s="43">
        <f t="shared" si="13"/>
        <v>38457</v>
      </c>
      <c r="N52" s="13">
        <v>0.77083333333333337</v>
      </c>
      <c r="O52" s="12"/>
      <c r="P52" s="23" t="str">
        <f t="shared" si="10"/>
        <v/>
      </c>
    </row>
    <row r="53" spans="1:16" x14ac:dyDescent="0.2">
      <c r="A53" s="1" t="s">
        <v>264</v>
      </c>
      <c r="D53" s="55">
        <f ca="1">(SUM(D33+D36+D39+D42+D43+D46+D49))*1.22</f>
        <v>391.05361917808216</v>
      </c>
      <c r="E53" s="38">
        <f t="shared" si="11"/>
        <v>38399</v>
      </c>
      <c r="F53" s="9" t="s">
        <v>25</v>
      </c>
      <c r="G53" s="8">
        <v>20109</v>
      </c>
      <c r="H53" s="75">
        <f t="shared" si="8"/>
        <v>0</v>
      </c>
      <c r="I53" s="41">
        <f t="shared" si="12"/>
        <v>38427</v>
      </c>
      <c r="J53" s="11" t="s">
        <v>25</v>
      </c>
      <c r="K53" s="10">
        <v>20134</v>
      </c>
      <c r="L53" s="30">
        <f t="shared" si="9"/>
        <v>0</v>
      </c>
      <c r="M53" s="43">
        <f t="shared" si="13"/>
        <v>38458</v>
      </c>
      <c r="N53" s="13">
        <v>0.77083333333333337</v>
      </c>
      <c r="O53" s="12"/>
      <c r="P53" s="23" t="str">
        <f t="shared" si="10"/>
        <v/>
      </c>
    </row>
    <row r="54" spans="1:16" x14ac:dyDescent="0.2">
      <c r="A54" s="1"/>
      <c r="B54" s="2"/>
      <c r="C54" s="3"/>
      <c r="D54" s="3"/>
      <c r="E54" s="38">
        <f t="shared" si="11"/>
        <v>38400</v>
      </c>
      <c r="F54" s="9" t="s">
        <v>26</v>
      </c>
      <c r="G54" s="8">
        <v>20109</v>
      </c>
      <c r="H54" s="75">
        <f t="shared" si="8"/>
        <v>0</v>
      </c>
      <c r="I54" s="41">
        <f t="shared" si="12"/>
        <v>38428</v>
      </c>
      <c r="J54" s="11" t="s">
        <v>26</v>
      </c>
      <c r="K54" s="10">
        <v>20134</v>
      </c>
      <c r="L54" s="30">
        <f t="shared" si="9"/>
        <v>0</v>
      </c>
      <c r="M54" s="43">
        <f t="shared" si="13"/>
        <v>38459</v>
      </c>
      <c r="N54" s="13">
        <v>0.77083333333333337</v>
      </c>
      <c r="O54" s="12"/>
      <c r="P54" s="23" t="str">
        <f t="shared" si="10"/>
        <v/>
      </c>
    </row>
    <row r="55" spans="1:16" x14ac:dyDescent="0.2">
      <c r="A55" s="1" t="s">
        <v>298</v>
      </c>
      <c r="B55" s="26">
        <v>0.27385999999999999</v>
      </c>
      <c r="C55" s="65"/>
      <c r="D55" s="26"/>
      <c r="E55" s="38">
        <f t="shared" si="11"/>
        <v>38401</v>
      </c>
      <c r="F55" s="9">
        <v>0.77083333333333337</v>
      </c>
      <c r="G55" s="8">
        <v>20110</v>
      </c>
      <c r="H55" s="75">
        <f t="shared" si="8"/>
        <v>1</v>
      </c>
      <c r="I55" s="41">
        <f t="shared" si="12"/>
        <v>38429</v>
      </c>
      <c r="J55" s="11" t="s">
        <v>290</v>
      </c>
      <c r="K55" s="10">
        <v>20134</v>
      </c>
      <c r="L55" s="30">
        <f t="shared" si="9"/>
        <v>0</v>
      </c>
      <c r="M55" s="43">
        <f t="shared" si="13"/>
        <v>38460</v>
      </c>
      <c r="N55" s="13">
        <v>0.77083333333333337</v>
      </c>
      <c r="O55" s="12"/>
      <c r="P55" s="23" t="str">
        <f t="shared" si="10"/>
        <v/>
      </c>
    </row>
    <row r="56" spans="1:16" x14ac:dyDescent="0.2">
      <c r="A56" s="1" t="s">
        <v>299</v>
      </c>
      <c r="B56" s="26">
        <v>0.27385999999999999</v>
      </c>
      <c r="C56" s="65"/>
      <c r="D56" s="3"/>
      <c r="E56" s="38">
        <f t="shared" si="11"/>
        <v>38402</v>
      </c>
      <c r="F56" s="9">
        <v>0.77083333333333337</v>
      </c>
      <c r="G56" s="8">
        <v>20112</v>
      </c>
      <c r="H56" s="75">
        <f t="shared" si="8"/>
        <v>2</v>
      </c>
      <c r="I56" s="41">
        <f t="shared" si="12"/>
        <v>38430</v>
      </c>
      <c r="J56" s="11" t="s">
        <v>290</v>
      </c>
      <c r="K56" s="10">
        <v>20135</v>
      </c>
      <c r="L56" s="30">
        <f t="shared" si="9"/>
        <v>1</v>
      </c>
      <c r="M56" s="43">
        <f t="shared" si="13"/>
        <v>38461</v>
      </c>
      <c r="N56" s="13">
        <v>0.77083333333333337</v>
      </c>
      <c r="O56" s="12"/>
      <c r="P56" s="23" t="str">
        <f t="shared" si="10"/>
        <v/>
      </c>
    </row>
    <row r="57" spans="1:16" x14ac:dyDescent="0.2">
      <c r="A57" s="1" t="s">
        <v>300</v>
      </c>
      <c r="B57" s="26">
        <v>0.27385999999999999</v>
      </c>
      <c r="C57" s="65"/>
      <c r="D57" s="3"/>
      <c r="E57" s="38">
        <f t="shared" si="11"/>
        <v>38403</v>
      </c>
      <c r="F57" s="9">
        <v>0.77083333333333337</v>
      </c>
      <c r="G57" s="8">
        <v>20114</v>
      </c>
      <c r="H57" s="75">
        <f t="shared" si="8"/>
        <v>2</v>
      </c>
      <c r="I57" s="41">
        <f t="shared" si="12"/>
        <v>38431</v>
      </c>
      <c r="J57" s="11" t="s">
        <v>290</v>
      </c>
      <c r="K57" s="10">
        <v>20137</v>
      </c>
      <c r="L57" s="30">
        <f t="shared" si="9"/>
        <v>2</v>
      </c>
      <c r="M57" s="43">
        <f t="shared" si="13"/>
        <v>38462</v>
      </c>
      <c r="N57" s="13" t="s">
        <v>25</v>
      </c>
      <c r="O57" s="12"/>
      <c r="P57" s="23" t="str">
        <f t="shared" si="10"/>
        <v/>
      </c>
    </row>
    <row r="58" spans="1:16" x14ac:dyDescent="0.2">
      <c r="A58" s="1"/>
      <c r="B58" s="2"/>
      <c r="C58" s="3"/>
      <c r="D58" s="3"/>
      <c r="E58" s="38">
        <f t="shared" si="11"/>
        <v>38404</v>
      </c>
      <c r="F58" s="9">
        <v>0.77083333333333337</v>
      </c>
      <c r="G58" s="8">
        <v>20115</v>
      </c>
      <c r="H58" s="75">
        <f t="shared" si="8"/>
        <v>1</v>
      </c>
      <c r="I58" s="41">
        <f t="shared" si="12"/>
        <v>38432</v>
      </c>
      <c r="J58" s="11" t="s">
        <v>290</v>
      </c>
      <c r="K58" s="10">
        <v>20138</v>
      </c>
      <c r="L58" s="30">
        <f t="shared" si="9"/>
        <v>1</v>
      </c>
      <c r="M58" s="43">
        <f t="shared" si="13"/>
        <v>38463</v>
      </c>
      <c r="N58" s="13" t="s">
        <v>34</v>
      </c>
      <c r="O58" s="12"/>
      <c r="P58" s="23" t="str">
        <f t="shared" si="10"/>
        <v/>
      </c>
    </row>
    <row r="59" spans="1:16" x14ac:dyDescent="0.2">
      <c r="A59" s="1" t="s">
        <v>306</v>
      </c>
      <c r="B59" s="26">
        <v>4.3999999999999997E-2</v>
      </c>
      <c r="C59" s="3"/>
      <c r="D59" s="3"/>
      <c r="E59" s="38">
        <f t="shared" si="11"/>
        <v>38405</v>
      </c>
      <c r="F59" s="9">
        <v>0.77083333333333337</v>
      </c>
      <c r="G59" s="8">
        <v>20116</v>
      </c>
      <c r="H59" s="75">
        <f t="shared" si="8"/>
        <v>1</v>
      </c>
      <c r="I59" s="41">
        <f t="shared" si="12"/>
        <v>38433</v>
      </c>
      <c r="J59" s="11" t="s">
        <v>290</v>
      </c>
      <c r="K59" s="10">
        <v>20138</v>
      </c>
      <c r="L59" s="30">
        <f t="shared" si="9"/>
        <v>0</v>
      </c>
      <c r="M59" s="43">
        <f t="shared" si="13"/>
        <v>38464</v>
      </c>
      <c r="N59" s="13" t="s">
        <v>72</v>
      </c>
      <c r="O59" s="12"/>
      <c r="P59" s="23" t="str">
        <f t="shared" si="10"/>
        <v/>
      </c>
    </row>
    <row r="60" spans="1:16" x14ac:dyDescent="0.2">
      <c r="A60" s="1" t="s">
        <v>304</v>
      </c>
      <c r="B60" s="26">
        <v>0.17499999999999999</v>
      </c>
      <c r="C60" s="3"/>
      <c r="D60" s="3"/>
      <c r="E60" s="38">
        <f t="shared" si="11"/>
        <v>38406</v>
      </c>
      <c r="F60" s="9" t="s">
        <v>25</v>
      </c>
      <c r="G60" s="8">
        <v>20116</v>
      </c>
      <c r="H60" s="75">
        <f t="shared" si="8"/>
        <v>0</v>
      </c>
      <c r="I60" s="41">
        <f t="shared" si="12"/>
        <v>38434</v>
      </c>
      <c r="J60" s="11" t="s">
        <v>25</v>
      </c>
      <c r="K60" s="10">
        <v>20138</v>
      </c>
      <c r="L60" s="30">
        <f t="shared" si="9"/>
        <v>0</v>
      </c>
      <c r="M60" s="43">
        <f t="shared" si="13"/>
        <v>38465</v>
      </c>
      <c r="N60" s="13">
        <v>0.77083333333333337</v>
      </c>
      <c r="O60" s="12"/>
      <c r="P60" s="23" t="str">
        <f t="shared" si="10"/>
        <v/>
      </c>
    </row>
    <row r="61" spans="1:16" x14ac:dyDescent="0.2">
      <c r="A61" s="1" t="s">
        <v>305</v>
      </c>
      <c r="B61" s="26">
        <v>0.17</v>
      </c>
      <c r="C61" s="3"/>
      <c r="D61" s="3"/>
      <c r="E61" s="38">
        <f t="shared" si="11"/>
        <v>38407</v>
      </c>
      <c r="F61" s="9" t="s">
        <v>26</v>
      </c>
      <c r="G61" s="8">
        <v>20116</v>
      </c>
      <c r="H61" s="75">
        <f t="shared" si="8"/>
        <v>0</v>
      </c>
      <c r="I61" s="41">
        <f t="shared" si="12"/>
        <v>38435</v>
      </c>
      <c r="J61" s="11" t="s">
        <v>26</v>
      </c>
      <c r="K61" s="10">
        <v>20138</v>
      </c>
      <c r="L61" s="30">
        <f t="shared" si="9"/>
        <v>0</v>
      </c>
      <c r="M61" s="43">
        <f t="shared" si="13"/>
        <v>38466</v>
      </c>
      <c r="N61" s="13">
        <v>0.77083333333333337</v>
      </c>
      <c r="O61" s="12"/>
      <c r="P61" s="23" t="str">
        <f t="shared" si="10"/>
        <v/>
      </c>
    </row>
    <row r="62" spans="1:16" x14ac:dyDescent="0.2">
      <c r="A62" s="1"/>
      <c r="B62" s="2"/>
      <c r="C62" s="3"/>
      <c r="D62" s="3"/>
      <c r="E62" s="38">
        <f t="shared" si="11"/>
        <v>38408</v>
      </c>
      <c r="F62" s="9">
        <v>0.77083333333333337</v>
      </c>
      <c r="G62" s="8">
        <v>20118</v>
      </c>
      <c r="H62" s="75">
        <f t="shared" si="8"/>
        <v>2</v>
      </c>
      <c r="I62" s="41">
        <f t="shared" si="12"/>
        <v>38436</v>
      </c>
      <c r="J62" s="11" t="s">
        <v>290</v>
      </c>
      <c r="K62" s="10">
        <v>20138</v>
      </c>
      <c r="L62" s="30">
        <f t="shared" si="9"/>
        <v>0</v>
      </c>
      <c r="M62" s="43">
        <f t="shared" si="13"/>
        <v>38467</v>
      </c>
      <c r="N62" s="13">
        <v>0.77083333333333337</v>
      </c>
      <c r="O62" s="12"/>
      <c r="P62" s="23" t="str">
        <f t="shared" si="10"/>
        <v/>
      </c>
    </row>
    <row r="63" spans="1:16" x14ac:dyDescent="0.2">
      <c r="A63" s="1" t="s">
        <v>90</v>
      </c>
      <c r="B63" s="26">
        <v>51.19</v>
      </c>
      <c r="C63" s="3" t="s">
        <v>86</v>
      </c>
      <c r="D63" s="3"/>
      <c r="E63" s="38">
        <f t="shared" si="11"/>
        <v>38409</v>
      </c>
      <c r="F63" s="9">
        <v>0.77083333333333337</v>
      </c>
      <c r="G63" s="8">
        <v>20119</v>
      </c>
      <c r="H63" s="75">
        <f>IF(AND(H62&lt;&gt;"",G63&lt;&gt;""),G63-G62,"")</f>
        <v>1</v>
      </c>
      <c r="I63" s="41">
        <v>38802</v>
      </c>
      <c r="J63" s="11" t="s">
        <v>290</v>
      </c>
      <c r="K63" s="10">
        <v>20139</v>
      </c>
      <c r="L63" s="30">
        <f t="shared" si="9"/>
        <v>1</v>
      </c>
      <c r="M63" s="43">
        <f t="shared" si="13"/>
        <v>38468</v>
      </c>
      <c r="N63" s="13">
        <v>0.77083333333333337</v>
      </c>
      <c r="O63" s="12"/>
      <c r="P63" s="23" t="str">
        <f t="shared" si="10"/>
        <v/>
      </c>
    </row>
    <row r="64" spans="1:16" x14ac:dyDescent="0.2">
      <c r="A64" s="1" t="s">
        <v>54</v>
      </c>
      <c r="B64" s="26">
        <v>57.35</v>
      </c>
      <c r="C64" s="3" t="s">
        <v>86</v>
      </c>
      <c r="D64" s="3"/>
      <c r="E64" s="38">
        <f t="shared" si="11"/>
        <v>38410</v>
      </c>
      <c r="F64" s="9">
        <v>0.77083333333333337</v>
      </c>
      <c r="G64" s="8">
        <v>20121</v>
      </c>
      <c r="H64" s="75">
        <f>IF(AND(H63&lt;&gt;"",G64&lt;&gt;""),G64-G63,"")</f>
        <v>2</v>
      </c>
      <c r="I64" s="41">
        <v>38803</v>
      </c>
      <c r="J64" s="11" t="s">
        <v>290</v>
      </c>
      <c r="K64" s="10">
        <v>20140</v>
      </c>
      <c r="L64" s="30">
        <f t="shared" si="9"/>
        <v>1</v>
      </c>
      <c r="M64" s="43">
        <f t="shared" si="13"/>
        <v>38469</v>
      </c>
      <c r="N64" s="13" t="s">
        <v>25</v>
      </c>
      <c r="O64" s="12"/>
      <c r="P64" s="23" t="str">
        <f t="shared" si="10"/>
        <v/>
      </c>
    </row>
    <row r="65" spans="1:16" x14ac:dyDescent="0.2">
      <c r="A65" s="1" t="s">
        <v>89</v>
      </c>
      <c r="B65" s="26">
        <v>-27.01</v>
      </c>
      <c r="C65" s="3" t="s">
        <v>86</v>
      </c>
      <c r="D65" s="3"/>
      <c r="E65" s="38">
        <f t="shared" si="11"/>
        <v>38411</v>
      </c>
      <c r="F65" s="9">
        <v>0.77083333333333337</v>
      </c>
      <c r="G65" s="8">
        <v>20122</v>
      </c>
      <c r="H65" s="75">
        <f>IF(AND(H64&lt;&gt;"",G65&lt;&gt;""),G65-G64,"")</f>
        <v>1</v>
      </c>
      <c r="I65" s="41">
        <v>38804</v>
      </c>
      <c r="J65" s="11" t="s">
        <v>290</v>
      </c>
      <c r="K65" s="10">
        <v>20140</v>
      </c>
      <c r="L65" s="30">
        <f t="shared" si="9"/>
        <v>0</v>
      </c>
      <c r="M65" s="43">
        <f t="shared" si="13"/>
        <v>38470</v>
      </c>
      <c r="N65" s="13" t="s">
        <v>26</v>
      </c>
      <c r="O65" s="12"/>
      <c r="P65" s="23" t="str">
        <f t="shared" si="10"/>
        <v/>
      </c>
    </row>
    <row r="66" spans="1:16" x14ac:dyDescent="0.2">
      <c r="A66" s="1" t="s">
        <v>91</v>
      </c>
      <c r="B66" s="26">
        <v>0</v>
      </c>
      <c r="C66" s="3" t="s">
        <v>86</v>
      </c>
      <c r="D66" s="3"/>
      <c r="E66" s="38"/>
      <c r="F66" s="9"/>
      <c r="G66" s="107"/>
      <c r="H66" s="75" t="str">
        <f>IF(AND(H65&lt;&gt;"",G66&lt;&gt;""),G66-G65,"")</f>
        <v/>
      </c>
      <c r="I66" s="41">
        <v>38805</v>
      </c>
      <c r="J66" s="11" t="s">
        <v>290</v>
      </c>
      <c r="K66" s="10">
        <v>20140</v>
      </c>
      <c r="L66" s="30">
        <f t="shared" si="9"/>
        <v>0</v>
      </c>
      <c r="M66" s="43">
        <f t="shared" si="13"/>
        <v>38471</v>
      </c>
      <c r="N66" s="13">
        <v>0.77083333333333337</v>
      </c>
      <c r="O66" s="12"/>
      <c r="P66" s="23" t="str">
        <f t="shared" si="10"/>
        <v/>
      </c>
    </row>
    <row r="67" spans="1:16" x14ac:dyDescent="0.2">
      <c r="A67" s="1"/>
      <c r="B67" s="2"/>
      <c r="C67" s="3"/>
      <c r="D67" s="3"/>
      <c r="E67" s="38"/>
      <c r="F67" s="8"/>
      <c r="G67" s="8"/>
      <c r="H67" s="75" t="str">
        <f>IF(AND(H61&lt;&gt;"",G67&lt;&gt;""),G67-G61,"")</f>
        <v/>
      </c>
      <c r="I67" s="41">
        <v>38806</v>
      </c>
      <c r="J67" s="11" t="s">
        <v>25</v>
      </c>
      <c r="K67" s="10">
        <v>20140</v>
      </c>
      <c r="L67" s="30">
        <f t="shared" si="9"/>
        <v>0</v>
      </c>
      <c r="M67" s="43">
        <f t="shared" si="13"/>
        <v>38472</v>
      </c>
      <c r="N67" s="13">
        <v>0.77083333333333337</v>
      </c>
      <c r="O67" s="12"/>
      <c r="P67" s="23" t="str">
        <f t="shared" si="10"/>
        <v/>
      </c>
    </row>
    <row r="68" spans="1:16" x14ac:dyDescent="0.2">
      <c r="A68" s="1" t="s">
        <v>100</v>
      </c>
      <c r="B68" s="71">
        <f>SUM(B63:B66)</f>
        <v>81.529999999999987</v>
      </c>
      <c r="C68" s="3" t="s">
        <v>86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 t="s">
        <v>26</v>
      </c>
      <c r="K68" s="10">
        <v>20140</v>
      </c>
      <c r="L68" s="30">
        <f t="shared" si="9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A69" s="1" t="s">
        <v>194</v>
      </c>
      <c r="B69" s="102">
        <v>1.0213190000000001</v>
      </c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9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/>
    <row r="71" spans="1:16" x14ac:dyDescent="0.2">
      <c r="A71" s="72" t="s">
        <v>24</v>
      </c>
      <c r="B71" s="55">
        <f ca="1">B2</f>
        <v>356.23173500446273</v>
      </c>
    </row>
  </sheetData>
  <mergeCells count="4">
    <mergeCell ref="C7:D7"/>
    <mergeCell ref="C6:D6"/>
    <mergeCell ref="C8:D8"/>
    <mergeCell ref="C10:D10"/>
  </mergeCells>
  <conditionalFormatting sqref="P4">
    <cfRule type="cellIs" dxfId="76" priority="8" stopIfTrue="1" operator="lessThan">
      <formula>0</formula>
    </cfRule>
    <cfRule type="cellIs" dxfId="75" priority="9" stopIfTrue="1" operator="lessThan">
      <formula>0</formula>
    </cfRule>
  </conditionalFormatting>
  <conditionalFormatting sqref="L38">
    <cfRule type="cellIs" dxfId="74" priority="7" stopIfTrue="1" operator="lessThan">
      <formula>0</formula>
    </cfRule>
  </conditionalFormatting>
  <conditionalFormatting sqref="H38">
    <cfRule type="cellIs" dxfId="73" priority="6" stopIfTrue="1" operator="lessThan">
      <formula>0</formula>
    </cfRule>
  </conditionalFormatting>
  <conditionalFormatting sqref="P38">
    <cfRule type="cellIs" dxfId="72" priority="5" stopIfTrue="1" operator="lessThan">
      <formula>0</formula>
    </cfRule>
  </conditionalFormatting>
  <conditionalFormatting sqref="B29">
    <cfRule type="cellIs" dxfId="71" priority="4" stopIfTrue="1" operator="greaterThan">
      <formula>366</formula>
    </cfRule>
  </conditionalFormatting>
  <conditionalFormatting sqref="B44:B46 B31:B42">
    <cfRule type="cellIs" dxfId="70" priority="2" stopIfTrue="1" operator="greaterThan">
      <formula>366</formula>
    </cfRule>
    <cfRule type="cellIs" dxfId="69" priority="3" stopIfTrue="1" operator="greaterThan">
      <formula>40472</formula>
    </cfRule>
  </conditionalFormatting>
  <conditionalFormatting sqref="B2">
    <cfRule type="containsText" dxfId="68" priority="1" stopIfTrue="1" operator="containsText" text="#VALORE!">
      <formula>NOT(ISERROR(SEARCH("#VALORE!",B2)))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44" workbookViewId="0">
      <selection activeCell="K34" sqref="K34"/>
    </sheetView>
  </sheetViews>
  <sheetFormatPr defaultRowHeight="12.75" x14ac:dyDescent="0.2"/>
  <cols>
    <col min="1" max="1" width="26.140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7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IF(D51="",D52,D51+D52)</f>
        <v>497.92913070438414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 t="s">
        <v>289</v>
      </c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/>
      <c r="B4" s="2"/>
      <c r="C4" s="3"/>
      <c r="D4" s="3"/>
      <c r="E4" s="38">
        <v>39387</v>
      </c>
      <c r="F4" s="9">
        <v>0.77083333333333337</v>
      </c>
      <c r="G4" s="8">
        <v>19608</v>
      </c>
      <c r="H4" s="76">
        <f>IF(G4-B16&lt;0,0,0)</f>
        <v>0</v>
      </c>
      <c r="I4" s="46">
        <v>38687</v>
      </c>
      <c r="J4" s="11">
        <v>0.77083333333333337</v>
      </c>
      <c r="K4" s="10">
        <v>19629</v>
      </c>
      <c r="L4" s="30">
        <f>IF(AND(H35&lt;&gt;"",K4&lt;&gt;""),K4-K3,K4-MAX(G4:G35))</f>
        <v>2</v>
      </c>
      <c r="M4" s="43">
        <v>38353</v>
      </c>
      <c r="N4" s="13" t="s">
        <v>33</v>
      </c>
      <c r="O4" s="12">
        <v>19714</v>
      </c>
      <c r="P4" s="23">
        <f>IF(AND(L35&lt;&gt;"",O4&lt;&gt;""),O4-O3,O4-MAX(K4:K34))</f>
        <v>0</v>
      </c>
    </row>
    <row r="5" spans="1:16" x14ac:dyDescent="0.2">
      <c r="A5" s="1" t="s">
        <v>347</v>
      </c>
      <c r="B5" s="26">
        <v>14.82</v>
      </c>
      <c r="C5" s="131"/>
      <c r="D5" s="132"/>
      <c r="E5" s="38">
        <f>E4+1</f>
        <v>39388</v>
      </c>
      <c r="F5" s="9">
        <v>0.77083333333333337</v>
      </c>
      <c r="G5" s="8">
        <v>19608</v>
      </c>
      <c r="H5" s="75">
        <f t="shared" ref="H5:H35" si="0">IF(AND(H4&lt;&gt;"",G5&lt;&gt;""),G5-G4,"")</f>
        <v>0</v>
      </c>
      <c r="I5" s="41">
        <f>I4+1</f>
        <v>38688</v>
      </c>
      <c r="J5" s="11" t="s">
        <v>25</v>
      </c>
      <c r="K5" s="10">
        <v>19629</v>
      </c>
      <c r="L5" s="30">
        <f>IF(AND(L4&lt;&gt;"",K5&lt;&gt;""),K5-K4,"")</f>
        <v>0</v>
      </c>
      <c r="M5" s="43">
        <f>M4+1</f>
        <v>38354</v>
      </c>
      <c r="N5" s="13" t="s">
        <v>290</v>
      </c>
      <c r="O5" s="12">
        <v>19722</v>
      </c>
      <c r="P5" s="23">
        <f>IF(AND(P4&lt;&gt;"",O5&lt;&gt;""),O5-O4,"")</f>
        <v>8</v>
      </c>
    </row>
    <row r="6" spans="1:16" x14ac:dyDescent="0.2">
      <c r="A6" s="1" t="s">
        <v>348</v>
      </c>
      <c r="B6" s="26">
        <v>17.850000000000001</v>
      </c>
      <c r="C6" s="131"/>
      <c r="D6" s="132"/>
      <c r="E6" s="38">
        <f t="shared" ref="E6:E33" si="1">E5+1</f>
        <v>39389</v>
      </c>
      <c r="F6" s="9">
        <v>0.77083333333333337</v>
      </c>
      <c r="G6" s="8">
        <v>19608</v>
      </c>
      <c r="H6" s="75">
        <f t="shared" si="0"/>
        <v>0</v>
      </c>
      <c r="I6" s="41">
        <f t="shared" ref="I6:I29" si="2">I5+1</f>
        <v>38689</v>
      </c>
      <c r="J6" s="11" t="s">
        <v>26</v>
      </c>
      <c r="K6" s="10">
        <v>19629</v>
      </c>
      <c r="L6" s="30">
        <f>IF(AND(L5&lt;&gt;"",K6&lt;&gt;""),K6-K5,"")</f>
        <v>0</v>
      </c>
      <c r="M6" s="43">
        <f t="shared" ref="M6:M29" si="3">M5+1</f>
        <v>38355</v>
      </c>
      <c r="N6" s="13" t="s">
        <v>290</v>
      </c>
      <c r="O6" s="12">
        <v>19726</v>
      </c>
      <c r="P6" s="23">
        <f t="shared" ref="P6:P35" si="4">IF(AND(P5&lt;&gt;"",O6&lt;&gt;""),O6-O5,"")</f>
        <v>4</v>
      </c>
    </row>
    <row r="7" spans="1:16" x14ac:dyDescent="0.2">
      <c r="A7" s="1" t="s">
        <v>357</v>
      </c>
      <c r="B7" s="26">
        <v>62.94</v>
      </c>
      <c r="C7" s="131"/>
      <c r="D7" s="132"/>
      <c r="E7" s="38">
        <f t="shared" si="1"/>
        <v>39390</v>
      </c>
      <c r="F7" s="9">
        <v>0.77083333333333337</v>
      </c>
      <c r="G7" s="8">
        <v>19608</v>
      </c>
      <c r="H7" s="75">
        <f t="shared" si="0"/>
        <v>0</v>
      </c>
      <c r="I7" s="41">
        <f t="shared" si="2"/>
        <v>38690</v>
      </c>
      <c r="J7" s="11">
        <v>0.75</v>
      </c>
      <c r="K7" s="10">
        <v>19633</v>
      </c>
      <c r="L7" s="30">
        <f>IF(AND(L6&lt;&gt;"",K7&lt;&gt;""),K7-K6,"")</f>
        <v>4</v>
      </c>
      <c r="M7" s="43">
        <f t="shared" si="3"/>
        <v>38356</v>
      </c>
      <c r="N7" s="13">
        <v>0.77083333333333337</v>
      </c>
      <c r="O7" s="12">
        <v>19729</v>
      </c>
      <c r="P7" s="23">
        <f t="shared" si="4"/>
        <v>3</v>
      </c>
    </row>
    <row r="8" spans="1:16" x14ac:dyDescent="0.2">
      <c r="A8" s="1" t="s">
        <v>358</v>
      </c>
      <c r="B8" s="26">
        <v>135.91</v>
      </c>
      <c r="C8" s="133"/>
      <c r="D8" s="133"/>
      <c r="E8" s="38">
        <f t="shared" si="1"/>
        <v>39391</v>
      </c>
      <c r="F8" s="9" t="s">
        <v>25</v>
      </c>
      <c r="G8" s="8">
        <v>19608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19637</v>
      </c>
      <c r="L8" s="30">
        <f>IF(AND(L7&lt;&gt;"",K8&lt;&gt;""),K8-K7,"")</f>
        <v>4</v>
      </c>
      <c r="M8" s="43">
        <f t="shared" si="3"/>
        <v>38357</v>
      </c>
      <c r="N8" s="13">
        <v>0.77083333333333337</v>
      </c>
      <c r="O8" s="12">
        <v>19732</v>
      </c>
      <c r="P8" s="23">
        <f t="shared" si="4"/>
        <v>3</v>
      </c>
    </row>
    <row r="9" spans="1:16" x14ac:dyDescent="0.2">
      <c r="A9" s="1" t="s">
        <v>359</v>
      </c>
      <c r="B9" s="26">
        <v>56.32</v>
      </c>
      <c r="C9" s="128" t="s">
        <v>360</v>
      </c>
      <c r="D9" s="128"/>
      <c r="E9" s="38">
        <f t="shared" si="1"/>
        <v>39392</v>
      </c>
      <c r="F9" s="9" t="s">
        <v>26</v>
      </c>
      <c r="G9" s="8">
        <v>19608</v>
      </c>
      <c r="H9" s="75">
        <f t="shared" si="0"/>
        <v>0</v>
      </c>
      <c r="I9" s="41">
        <f t="shared" si="2"/>
        <v>38692</v>
      </c>
      <c r="J9" s="11" t="s">
        <v>290</v>
      </c>
      <c r="K9" s="10">
        <v>19642</v>
      </c>
      <c r="L9" s="30">
        <f>IF(AND(L8&lt;&gt;"",K9&lt;&gt;""),K9-K8,"")</f>
        <v>5</v>
      </c>
      <c r="M9" s="43">
        <f t="shared" si="3"/>
        <v>38358</v>
      </c>
      <c r="N9" s="13" t="s">
        <v>83</v>
      </c>
      <c r="O9" s="12">
        <v>19732</v>
      </c>
      <c r="P9" s="23">
        <f t="shared" si="4"/>
        <v>0</v>
      </c>
    </row>
    <row r="10" spans="1:16" x14ac:dyDescent="0.2">
      <c r="A10" s="63" t="s">
        <v>328</v>
      </c>
      <c r="B10" s="64">
        <f>SUM(B5:B9)</f>
        <v>287.83999999999997</v>
      </c>
      <c r="C10" s="3"/>
      <c r="D10" s="3"/>
      <c r="E10" s="38">
        <f t="shared" si="1"/>
        <v>39393</v>
      </c>
      <c r="F10" s="9">
        <v>0.77083333333333337</v>
      </c>
      <c r="G10" s="8">
        <v>19608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19645</v>
      </c>
      <c r="L10" s="30">
        <f t="shared" ref="L10:L35" si="5">IF(AND(L9&lt;&gt;"",K10&lt;&gt;""),K10-K9,"")</f>
        <v>3</v>
      </c>
      <c r="M10" s="43">
        <f t="shared" si="3"/>
        <v>38359</v>
      </c>
      <c r="N10" s="13" t="s">
        <v>26</v>
      </c>
      <c r="O10" s="12">
        <v>19732</v>
      </c>
      <c r="P10" s="23">
        <f t="shared" si="4"/>
        <v>0</v>
      </c>
    </row>
    <row r="11" spans="1:16" x14ac:dyDescent="0.2">
      <c r="E11" s="38">
        <f t="shared" si="1"/>
        <v>39394</v>
      </c>
      <c r="F11" s="9">
        <v>0.77083333333333337</v>
      </c>
      <c r="G11" s="8">
        <v>19608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19645</v>
      </c>
      <c r="L11" s="30">
        <f t="shared" si="5"/>
        <v>0</v>
      </c>
      <c r="M11" s="43">
        <f t="shared" si="3"/>
        <v>38360</v>
      </c>
      <c r="N11" s="13">
        <v>0.77083333333333337</v>
      </c>
      <c r="O11" s="12">
        <v>19734</v>
      </c>
      <c r="P11" s="23">
        <f t="shared" si="4"/>
        <v>2</v>
      </c>
    </row>
    <row r="12" spans="1:16" x14ac:dyDescent="0.2">
      <c r="A12" s="1" t="s">
        <v>349</v>
      </c>
      <c r="B12" s="27">
        <f>(MAX(G3:G33,K4:K34,O4:O34,G38:G65,K38:K68,O38:O67)-MIN(G4,G35))</f>
        <v>355</v>
      </c>
      <c r="C12" s="3"/>
      <c r="D12" s="3"/>
      <c r="E12" s="38">
        <f t="shared" si="1"/>
        <v>39395</v>
      </c>
      <c r="F12" s="9">
        <v>0.77083333333333337</v>
      </c>
      <c r="G12" s="8">
        <v>19608</v>
      </c>
      <c r="H12" s="75">
        <f t="shared" si="0"/>
        <v>0</v>
      </c>
      <c r="I12" s="41">
        <f t="shared" si="2"/>
        <v>38695</v>
      </c>
      <c r="J12" s="11" t="s">
        <v>25</v>
      </c>
      <c r="K12" s="10">
        <v>19645</v>
      </c>
      <c r="L12" s="30">
        <f t="shared" si="5"/>
        <v>0</v>
      </c>
      <c r="M12" s="43">
        <f t="shared" si="3"/>
        <v>38361</v>
      </c>
      <c r="N12" s="13">
        <v>0.77083333333333337</v>
      </c>
      <c r="O12" s="12">
        <v>19736</v>
      </c>
      <c r="P12" s="23">
        <f t="shared" si="4"/>
        <v>2</v>
      </c>
    </row>
    <row r="13" spans="1:16" x14ac:dyDescent="0.2">
      <c r="A13" s="1" t="s">
        <v>331</v>
      </c>
      <c r="B13" s="2">
        <f>(MAX(G4:G33,K4:K34)-'1617'!O4)*B68</f>
        <v>285.96932000000004</v>
      </c>
      <c r="C13" s="118"/>
      <c r="D13" s="119"/>
      <c r="E13" s="38">
        <f t="shared" si="1"/>
        <v>39396</v>
      </c>
      <c r="F13" s="9">
        <v>0.77083333333333337</v>
      </c>
      <c r="G13" s="8">
        <v>19608</v>
      </c>
      <c r="H13" s="75">
        <f t="shared" si="0"/>
        <v>0</v>
      </c>
      <c r="I13" s="41">
        <f t="shared" si="2"/>
        <v>38696</v>
      </c>
      <c r="J13" s="11" t="s">
        <v>26</v>
      </c>
      <c r="K13" s="10">
        <v>19645</v>
      </c>
      <c r="L13" s="30">
        <f t="shared" si="5"/>
        <v>0</v>
      </c>
      <c r="M13" s="43">
        <f t="shared" si="3"/>
        <v>38362</v>
      </c>
      <c r="N13" s="13">
        <v>0.77083333333333337</v>
      </c>
      <c r="O13" s="12">
        <v>19737</v>
      </c>
      <c r="P13" s="23">
        <f>IF(AND(P12&lt;&gt;"",O13&lt;&gt;""),O13-O12,"")</f>
        <v>1</v>
      </c>
    </row>
    <row r="14" spans="1:16" x14ac:dyDescent="0.2">
      <c r="A14" s="1" t="s">
        <v>350</v>
      </c>
      <c r="B14" s="2">
        <f>IF(O4="",0,((MAX(O4:O34,G38:G68,K38:K68,O38:O68))-O4)*B68)</f>
        <v>254.30843100000001</v>
      </c>
      <c r="C14" s="3"/>
      <c r="D14" s="3"/>
      <c r="E14" s="38">
        <f t="shared" si="1"/>
        <v>39397</v>
      </c>
      <c r="F14" s="9" t="s">
        <v>25</v>
      </c>
      <c r="G14" s="8">
        <v>19608</v>
      </c>
      <c r="H14" s="75">
        <f t="shared" si="0"/>
        <v>0</v>
      </c>
      <c r="I14" s="41">
        <f t="shared" si="2"/>
        <v>38697</v>
      </c>
      <c r="J14" s="11">
        <v>0.75208333333333333</v>
      </c>
      <c r="K14" s="10">
        <v>19652</v>
      </c>
      <c r="L14" s="30">
        <f t="shared" si="5"/>
        <v>7</v>
      </c>
      <c r="M14" s="43">
        <f t="shared" si="3"/>
        <v>38363</v>
      </c>
      <c r="N14" s="13">
        <v>0.77083333333333337</v>
      </c>
      <c r="O14" s="12">
        <v>19738</v>
      </c>
      <c r="P14" s="23">
        <f t="shared" si="4"/>
        <v>1</v>
      </c>
    </row>
    <row r="15" spans="1:16" ht="13.5" thickBot="1" x14ac:dyDescent="0.25">
      <c r="C15" s="3"/>
      <c r="D15" s="3"/>
      <c r="E15" s="38">
        <f t="shared" si="1"/>
        <v>39398</v>
      </c>
      <c r="F15" s="9" t="s">
        <v>26</v>
      </c>
      <c r="G15" s="8">
        <v>19608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19658</v>
      </c>
      <c r="L15" s="30">
        <f t="shared" si="5"/>
        <v>6</v>
      </c>
      <c r="M15" s="43">
        <f t="shared" si="3"/>
        <v>38364</v>
      </c>
      <c r="N15" s="13">
        <v>0.77083333333333337</v>
      </c>
      <c r="O15" s="12">
        <v>19740</v>
      </c>
      <c r="P15" s="23">
        <f t="shared" si="4"/>
        <v>2</v>
      </c>
    </row>
    <row r="16" spans="1:16" ht="14.25" thickTop="1" thickBot="1" x14ac:dyDescent="0.25">
      <c r="A16" s="1" t="s">
        <v>58</v>
      </c>
      <c r="B16" s="2">
        <v>19953</v>
      </c>
      <c r="C16" s="106" t="s">
        <v>360</v>
      </c>
      <c r="D16" s="105">
        <v>43220</v>
      </c>
      <c r="E16" s="38">
        <f t="shared" si="1"/>
        <v>39399</v>
      </c>
      <c r="F16" s="9">
        <v>0.77083333333333337</v>
      </c>
      <c r="G16" s="8">
        <v>19608</v>
      </c>
      <c r="H16" s="75">
        <f t="shared" si="0"/>
        <v>0</v>
      </c>
      <c r="I16" s="41">
        <f t="shared" si="2"/>
        <v>38699</v>
      </c>
      <c r="J16" s="11">
        <v>0.77083333333333337</v>
      </c>
      <c r="K16" s="10">
        <v>19662</v>
      </c>
      <c r="L16" s="30">
        <f t="shared" si="5"/>
        <v>4</v>
      </c>
      <c r="M16" s="43">
        <f t="shared" si="3"/>
        <v>38365</v>
      </c>
      <c r="N16" s="13" t="s">
        <v>25</v>
      </c>
      <c r="O16" s="12">
        <v>19740</v>
      </c>
      <c r="P16" s="23">
        <f t="shared" si="4"/>
        <v>0</v>
      </c>
    </row>
    <row r="17" spans="1:16" ht="13.5" thickTop="1" x14ac:dyDescent="0.2">
      <c r="A17" s="1" t="s">
        <v>330</v>
      </c>
      <c r="B17" s="2">
        <f>(B16-('1617'!O4))*B68</f>
        <v>530.06456100000003</v>
      </c>
      <c r="C17" s="118"/>
      <c r="D17" s="118"/>
      <c r="E17" s="38">
        <f t="shared" si="1"/>
        <v>39400</v>
      </c>
      <c r="F17" s="9">
        <v>0.77083333333333337</v>
      </c>
      <c r="G17" s="8">
        <v>19608</v>
      </c>
      <c r="H17" s="75">
        <f t="shared" si="0"/>
        <v>0</v>
      </c>
      <c r="I17" s="41">
        <f t="shared" si="2"/>
        <v>38700</v>
      </c>
      <c r="J17" s="11">
        <v>0.77083333333333337</v>
      </c>
      <c r="K17" s="10">
        <v>19664</v>
      </c>
      <c r="L17" s="30">
        <f t="shared" si="5"/>
        <v>2</v>
      </c>
      <c r="M17" s="43">
        <f t="shared" si="3"/>
        <v>38366</v>
      </c>
      <c r="N17" s="13" t="s">
        <v>26</v>
      </c>
      <c r="O17" s="12">
        <v>19740</v>
      </c>
      <c r="P17" s="23">
        <f t="shared" si="4"/>
        <v>0</v>
      </c>
    </row>
    <row r="18" spans="1:16" x14ac:dyDescent="0.2">
      <c r="A18" s="1" t="s">
        <v>368</v>
      </c>
      <c r="B18" s="2">
        <f>IF(OR(O4&gt;B16,O4=""),0,B16-K34)</f>
        <v>239</v>
      </c>
      <c r="C18" s="3"/>
      <c r="D18" s="3"/>
      <c r="E18" s="38">
        <f t="shared" si="1"/>
        <v>39401</v>
      </c>
      <c r="F18" s="9">
        <v>0.77083333333333337</v>
      </c>
      <c r="G18" s="8">
        <v>19610</v>
      </c>
      <c r="H18" s="75">
        <f t="shared" si="0"/>
        <v>2</v>
      </c>
      <c r="I18" s="41">
        <f t="shared" si="2"/>
        <v>38701</v>
      </c>
      <c r="J18" s="11">
        <v>0.77083333333333337</v>
      </c>
      <c r="K18" s="10">
        <v>19668</v>
      </c>
      <c r="L18" s="30">
        <f t="shared" si="5"/>
        <v>4</v>
      </c>
      <c r="M18" s="43">
        <f t="shared" si="3"/>
        <v>38367</v>
      </c>
      <c r="N18" s="13">
        <v>0.77083333333333337</v>
      </c>
      <c r="O18" s="12">
        <v>19746</v>
      </c>
      <c r="P18" s="23">
        <f t="shared" si="4"/>
        <v>6</v>
      </c>
    </row>
    <row r="19" spans="1:16" x14ac:dyDescent="0.2">
      <c r="E19" s="38">
        <f t="shared" si="1"/>
        <v>39402</v>
      </c>
      <c r="F19" s="9">
        <v>0.77083333333333337</v>
      </c>
      <c r="G19" s="8">
        <v>19611</v>
      </c>
      <c r="H19" s="75">
        <f t="shared" si="0"/>
        <v>1</v>
      </c>
      <c r="I19" s="41">
        <f t="shared" si="2"/>
        <v>38702</v>
      </c>
      <c r="J19" s="11" t="s">
        <v>25</v>
      </c>
      <c r="K19" s="10">
        <v>19668</v>
      </c>
      <c r="L19" s="30">
        <f t="shared" si="5"/>
        <v>0</v>
      </c>
      <c r="M19" s="43">
        <f t="shared" si="3"/>
        <v>38368</v>
      </c>
      <c r="N19" s="13">
        <v>0.77083333333333337</v>
      </c>
      <c r="O19" s="12">
        <v>19750</v>
      </c>
      <c r="P19" s="23">
        <f t="shared" si="4"/>
        <v>4</v>
      </c>
    </row>
    <row r="20" spans="1:16" x14ac:dyDescent="0.2">
      <c r="A20" s="1" t="s">
        <v>351</v>
      </c>
      <c r="B20" s="2">
        <f>IF(AND(B13&gt;480,B17&lt;480),480-B17,0)</f>
        <v>0</v>
      </c>
      <c r="C20" s="3"/>
      <c r="D20" s="3"/>
      <c r="E20" s="38">
        <f t="shared" si="1"/>
        <v>39403</v>
      </c>
      <c r="F20" s="9">
        <v>0.77083333333333337</v>
      </c>
      <c r="G20" s="8">
        <v>19613</v>
      </c>
      <c r="H20" s="75">
        <f t="shared" si="0"/>
        <v>2</v>
      </c>
      <c r="I20" s="41">
        <f t="shared" si="2"/>
        <v>38703</v>
      </c>
      <c r="J20" s="11" t="s">
        <v>26</v>
      </c>
      <c r="K20" s="10">
        <v>19668</v>
      </c>
      <c r="L20" s="30">
        <f t="shared" si="5"/>
        <v>0</v>
      </c>
      <c r="M20" s="43">
        <f t="shared" si="3"/>
        <v>38369</v>
      </c>
      <c r="N20" s="13">
        <v>0.77083333333333337</v>
      </c>
      <c r="O20" s="12">
        <v>19754</v>
      </c>
      <c r="P20" s="23">
        <f t="shared" si="4"/>
        <v>4</v>
      </c>
    </row>
    <row r="21" spans="1:16" x14ac:dyDescent="0.2">
      <c r="A21" s="1" t="s">
        <v>352</v>
      </c>
      <c r="B21" s="2">
        <f>IF(AND(B14&gt;0,B18=0),(K34-B16-B20)*B68,120)</f>
        <v>120</v>
      </c>
      <c r="C21" s="3"/>
      <c r="D21" s="3"/>
      <c r="E21" s="38">
        <f t="shared" si="1"/>
        <v>39404</v>
      </c>
      <c r="F21" s="9" t="s">
        <v>25</v>
      </c>
      <c r="G21" s="8">
        <v>19613</v>
      </c>
      <c r="H21" s="75">
        <f t="shared" si="0"/>
        <v>0</v>
      </c>
      <c r="I21" s="41">
        <f t="shared" si="2"/>
        <v>38704</v>
      </c>
      <c r="J21" s="11">
        <v>0.75208333333333333</v>
      </c>
      <c r="K21" s="10">
        <v>19676</v>
      </c>
      <c r="L21" s="30">
        <f t="shared" si="5"/>
        <v>8</v>
      </c>
      <c r="M21" s="43">
        <f t="shared" si="3"/>
        <v>38370</v>
      </c>
      <c r="N21" s="13">
        <v>0.77083333333333337</v>
      </c>
      <c r="O21" s="12">
        <v>19757</v>
      </c>
      <c r="P21" s="23">
        <f t="shared" si="4"/>
        <v>3</v>
      </c>
    </row>
    <row r="22" spans="1:16" x14ac:dyDescent="0.2">
      <c r="A22" s="1" t="s">
        <v>353</v>
      </c>
      <c r="B22" s="104"/>
      <c r="C22" s="104"/>
      <c r="E22" s="38">
        <f t="shared" si="1"/>
        <v>39405</v>
      </c>
      <c r="F22" s="9" t="s">
        <v>26</v>
      </c>
      <c r="G22" s="8">
        <v>19613</v>
      </c>
      <c r="H22" s="75">
        <f t="shared" si="0"/>
        <v>0</v>
      </c>
      <c r="I22" s="41">
        <f t="shared" si="2"/>
        <v>38705</v>
      </c>
      <c r="J22" s="11">
        <v>0.77083333333333337</v>
      </c>
      <c r="K22" s="10">
        <v>19683</v>
      </c>
      <c r="L22" s="30">
        <f t="shared" si="5"/>
        <v>7</v>
      </c>
      <c r="M22" s="43">
        <f t="shared" si="3"/>
        <v>38371</v>
      </c>
      <c r="N22" s="13">
        <v>0.77083333333333337</v>
      </c>
      <c r="O22" s="12">
        <v>19760</v>
      </c>
      <c r="P22" s="23">
        <f t="shared" si="4"/>
        <v>3</v>
      </c>
    </row>
    <row r="23" spans="1:16" x14ac:dyDescent="0.2">
      <c r="A23" s="1" t="s">
        <v>354</v>
      </c>
      <c r="B23" s="104">
        <f>IF(B14=0,0,B14-120)</f>
        <v>134.30843100000001</v>
      </c>
      <c r="E23" s="38">
        <f t="shared" si="1"/>
        <v>39406</v>
      </c>
      <c r="F23" s="9">
        <v>0.77083333333333337</v>
      </c>
      <c r="G23" s="8">
        <v>19614</v>
      </c>
      <c r="H23" s="75">
        <f t="shared" si="0"/>
        <v>1</v>
      </c>
      <c r="I23" s="41">
        <f t="shared" si="2"/>
        <v>38706</v>
      </c>
      <c r="J23" s="11">
        <v>0.77083333333333337</v>
      </c>
      <c r="K23" s="10">
        <v>19688</v>
      </c>
      <c r="L23" s="30">
        <f t="shared" si="5"/>
        <v>5</v>
      </c>
      <c r="M23" s="43">
        <f t="shared" si="3"/>
        <v>38372</v>
      </c>
      <c r="N23" s="13" t="s">
        <v>25</v>
      </c>
      <c r="O23" s="12">
        <v>19760</v>
      </c>
      <c r="P23" s="23">
        <f t="shared" si="4"/>
        <v>0</v>
      </c>
    </row>
    <row r="24" spans="1:16" x14ac:dyDescent="0.2">
      <c r="A24" s="1" t="s">
        <v>355</v>
      </c>
      <c r="B24" s="104"/>
      <c r="E24" s="38">
        <f t="shared" si="1"/>
        <v>39407</v>
      </c>
      <c r="F24" s="9">
        <v>0.77083333333333337</v>
      </c>
      <c r="G24" s="8">
        <v>19615</v>
      </c>
      <c r="H24" s="75">
        <f t="shared" si="0"/>
        <v>1</v>
      </c>
      <c r="I24" s="41">
        <f t="shared" si="2"/>
        <v>38707</v>
      </c>
      <c r="J24" s="11">
        <v>0.77083333333333337</v>
      </c>
      <c r="K24" s="10">
        <v>19693</v>
      </c>
      <c r="L24" s="30">
        <f t="shared" si="5"/>
        <v>5</v>
      </c>
      <c r="M24" s="43">
        <f t="shared" si="3"/>
        <v>38373</v>
      </c>
      <c r="N24" s="13" t="s">
        <v>26</v>
      </c>
      <c r="O24" s="12">
        <v>19760</v>
      </c>
      <c r="P24" s="23">
        <f t="shared" si="4"/>
        <v>0</v>
      </c>
    </row>
    <row r="25" spans="1:16" x14ac:dyDescent="0.2">
      <c r="E25" s="38">
        <f t="shared" si="1"/>
        <v>39408</v>
      </c>
      <c r="F25" s="9">
        <v>0.77083333333333337</v>
      </c>
      <c r="G25" s="8">
        <v>19616</v>
      </c>
      <c r="H25" s="75">
        <f t="shared" si="0"/>
        <v>1</v>
      </c>
      <c r="I25" s="41">
        <f t="shared" si="2"/>
        <v>38708</v>
      </c>
      <c r="J25" s="11">
        <v>0.77083333333333337</v>
      </c>
      <c r="K25" s="10">
        <v>19698</v>
      </c>
      <c r="L25" s="30">
        <f t="shared" si="5"/>
        <v>5</v>
      </c>
      <c r="M25" s="43">
        <f t="shared" si="3"/>
        <v>38374</v>
      </c>
      <c r="N25" s="13">
        <v>0.75208333333333333</v>
      </c>
      <c r="O25" s="12">
        <v>19767</v>
      </c>
      <c r="P25" s="23">
        <f t="shared" si="4"/>
        <v>7</v>
      </c>
    </row>
    <row r="26" spans="1:16" x14ac:dyDescent="0.2">
      <c r="A26" s="1" t="s">
        <v>356</v>
      </c>
      <c r="B26" s="66" t="s">
        <v>8</v>
      </c>
      <c r="C26" s="67" t="s">
        <v>5</v>
      </c>
      <c r="D26" s="67" t="s">
        <v>6</v>
      </c>
      <c r="E26" s="38">
        <f t="shared" si="1"/>
        <v>39409</v>
      </c>
      <c r="F26" s="9">
        <v>0.77083333333333337</v>
      </c>
      <c r="G26" s="8">
        <v>19617</v>
      </c>
      <c r="H26" s="75">
        <f t="shared" si="0"/>
        <v>1</v>
      </c>
      <c r="I26" s="41">
        <f t="shared" si="2"/>
        <v>38709</v>
      </c>
      <c r="J26" s="11" t="s">
        <v>25</v>
      </c>
      <c r="K26" s="10">
        <v>19698</v>
      </c>
      <c r="L26" s="30">
        <f t="shared" si="5"/>
        <v>0</v>
      </c>
      <c r="M26" s="43">
        <f t="shared" si="3"/>
        <v>38375</v>
      </c>
      <c r="N26" s="13">
        <v>0.77083333333333337</v>
      </c>
      <c r="O26" s="12">
        <v>19771</v>
      </c>
      <c r="P26" s="23">
        <f t="shared" si="4"/>
        <v>4</v>
      </c>
    </row>
    <row r="27" spans="1:16" x14ac:dyDescent="0.2">
      <c r="A27" s="5"/>
      <c r="B27" s="2"/>
      <c r="C27" s="3"/>
      <c r="D27" s="3"/>
      <c r="E27" s="38">
        <f t="shared" si="1"/>
        <v>39410</v>
      </c>
      <c r="F27" s="9">
        <v>0.77083333333333337</v>
      </c>
      <c r="G27" s="8">
        <v>19618</v>
      </c>
      <c r="H27" s="75">
        <f t="shared" si="0"/>
        <v>1</v>
      </c>
      <c r="I27" s="41">
        <f t="shared" si="2"/>
        <v>38710</v>
      </c>
      <c r="J27" s="11" t="s">
        <v>26</v>
      </c>
      <c r="K27" s="10">
        <v>19698</v>
      </c>
      <c r="L27" s="30">
        <f t="shared" si="5"/>
        <v>0</v>
      </c>
      <c r="M27" s="43">
        <f t="shared" si="3"/>
        <v>38376</v>
      </c>
      <c r="N27" s="13">
        <v>0.77083333333333337</v>
      </c>
      <c r="O27" s="12">
        <v>19774</v>
      </c>
      <c r="P27" s="23">
        <f t="shared" si="4"/>
        <v>3</v>
      </c>
    </row>
    <row r="28" spans="1:16" x14ac:dyDescent="0.2">
      <c r="A28" s="1" t="s">
        <v>0</v>
      </c>
      <c r="B28" s="2">
        <f ca="1">SUM(TODAY()-D16)</f>
        <v>1800</v>
      </c>
      <c r="C28" s="3"/>
      <c r="D28" s="3"/>
      <c r="E28" s="38">
        <f t="shared" si="1"/>
        <v>39411</v>
      </c>
      <c r="F28" s="9" t="s">
        <v>25</v>
      </c>
      <c r="G28" s="8">
        <v>19618</v>
      </c>
      <c r="H28" s="75">
        <f t="shared" si="0"/>
        <v>0</v>
      </c>
      <c r="I28" s="46">
        <f t="shared" si="2"/>
        <v>38711</v>
      </c>
      <c r="J28" s="11" t="s">
        <v>31</v>
      </c>
      <c r="K28" s="10">
        <v>19698</v>
      </c>
      <c r="L28" s="30">
        <f t="shared" si="5"/>
        <v>0</v>
      </c>
      <c r="M28" s="43">
        <f t="shared" si="3"/>
        <v>38377</v>
      </c>
      <c r="N28" s="13">
        <v>0.77083333333333337</v>
      </c>
      <c r="O28" s="12">
        <v>19777</v>
      </c>
      <c r="P28" s="23">
        <f t="shared" si="4"/>
        <v>3</v>
      </c>
    </row>
    <row r="29" spans="1:16" x14ac:dyDescent="0.2">
      <c r="A29" s="1" t="s">
        <v>85</v>
      </c>
      <c r="B29" s="2">
        <f>(MAX(G4:G33, K4:K34,O4:O34, G38:G71, K38:K73, O38:O72)-B16)*B68</f>
        <v>10.213190000000001</v>
      </c>
      <c r="C29" s="3"/>
      <c r="D29" s="3"/>
      <c r="E29" s="38">
        <f t="shared" si="1"/>
        <v>39412</v>
      </c>
      <c r="F29" s="9" t="s">
        <v>26</v>
      </c>
      <c r="G29" s="8">
        <v>19618</v>
      </c>
      <c r="H29" s="75">
        <f t="shared" si="0"/>
        <v>0</v>
      </c>
      <c r="I29" s="41">
        <f t="shared" si="2"/>
        <v>38712</v>
      </c>
      <c r="J29" s="11" t="s">
        <v>332</v>
      </c>
      <c r="K29" s="10">
        <v>19698</v>
      </c>
      <c r="L29" s="30">
        <f t="shared" si="5"/>
        <v>0</v>
      </c>
      <c r="M29" s="43">
        <f t="shared" si="3"/>
        <v>38378</v>
      </c>
      <c r="N29" s="13">
        <v>0.77083333333333337</v>
      </c>
      <c r="O29" s="12">
        <v>19780</v>
      </c>
      <c r="P29" s="23">
        <f t="shared" si="4"/>
        <v>3</v>
      </c>
    </row>
    <row r="30" spans="1:16" x14ac:dyDescent="0.2">
      <c r="A30" s="1" t="s">
        <v>295</v>
      </c>
      <c r="B30" s="2">
        <f>IF((B14&gt;120),0,B29)</f>
        <v>0</v>
      </c>
      <c r="C30" s="3">
        <f>B54</f>
        <v>0.27385999999999999</v>
      </c>
      <c r="D30" s="3">
        <f>(B30*C30)</f>
        <v>0</v>
      </c>
      <c r="E30" s="38">
        <f t="shared" si="1"/>
        <v>39413</v>
      </c>
      <c r="F30" s="9">
        <v>0.77083333333333337</v>
      </c>
      <c r="G30" s="8">
        <v>19620</v>
      </c>
      <c r="H30" s="75">
        <f t="shared" si="0"/>
        <v>2</v>
      </c>
      <c r="I30" s="41">
        <f>I29+1</f>
        <v>38713</v>
      </c>
      <c r="J30" s="11">
        <v>0.77083333333333337</v>
      </c>
      <c r="K30" s="10">
        <v>19706</v>
      </c>
      <c r="L30" s="30">
        <f t="shared" si="5"/>
        <v>8</v>
      </c>
      <c r="M30" s="43">
        <f>M29+1</f>
        <v>38379</v>
      </c>
      <c r="N30" s="13" t="s">
        <v>25</v>
      </c>
      <c r="O30" s="12">
        <v>19780</v>
      </c>
      <c r="P30" s="23">
        <f t="shared" si="4"/>
        <v>0</v>
      </c>
    </row>
    <row r="31" spans="1:16" x14ac:dyDescent="0.2">
      <c r="A31" s="1" t="s">
        <v>296</v>
      </c>
      <c r="B31" s="121">
        <f>IF(AND(B14&gt;120,B13&lt;480),(B29),0)</f>
        <v>10.213190000000001</v>
      </c>
      <c r="C31" s="3">
        <f>B55</f>
        <v>0.27385999999999999</v>
      </c>
      <c r="D31" s="3">
        <f>(B31*C31)</f>
        <v>2.7969842134</v>
      </c>
      <c r="E31" s="38">
        <f t="shared" si="1"/>
        <v>39414</v>
      </c>
      <c r="F31" s="9" t="s">
        <v>290</v>
      </c>
      <c r="G31" s="8">
        <v>19621</v>
      </c>
      <c r="H31" s="75">
        <f t="shared" si="0"/>
        <v>1</v>
      </c>
      <c r="I31" s="41">
        <f>I30+1</f>
        <v>38714</v>
      </c>
      <c r="J31" s="11">
        <v>0.77083333333333337</v>
      </c>
      <c r="K31" s="10">
        <v>19711</v>
      </c>
      <c r="L31" s="30">
        <f t="shared" si="5"/>
        <v>5</v>
      </c>
      <c r="M31" s="43">
        <f>M30+1</f>
        <v>38380</v>
      </c>
      <c r="N31" s="13" t="s">
        <v>26</v>
      </c>
      <c r="O31" s="12">
        <v>19780</v>
      </c>
      <c r="P31" s="23">
        <f t="shared" si="4"/>
        <v>0</v>
      </c>
    </row>
    <row r="32" spans="1:16" x14ac:dyDescent="0.2">
      <c r="A32" s="1" t="s">
        <v>297</v>
      </c>
      <c r="B32" s="2">
        <f>IF(K34&lt;O4,0,0)</f>
        <v>0</v>
      </c>
      <c r="C32" s="3">
        <f>B56</f>
        <v>0.27385999999999999</v>
      </c>
      <c r="D32" s="3">
        <f>(B32*C32)</f>
        <v>0</v>
      </c>
      <c r="E32" s="38">
        <f t="shared" si="1"/>
        <v>39415</v>
      </c>
      <c r="F32" s="9" t="s">
        <v>290</v>
      </c>
      <c r="G32" s="8">
        <v>19624</v>
      </c>
      <c r="H32" s="75">
        <f t="shared" si="0"/>
        <v>3</v>
      </c>
      <c r="I32" s="41">
        <f>I31+1</f>
        <v>38715</v>
      </c>
      <c r="J32" s="11">
        <v>0.77083333333333337</v>
      </c>
      <c r="K32" s="10">
        <v>19714</v>
      </c>
      <c r="L32" s="30">
        <f t="shared" si="5"/>
        <v>3</v>
      </c>
      <c r="M32" s="43">
        <f>M31+1</f>
        <v>38381</v>
      </c>
      <c r="N32" s="13">
        <v>0.77083333333333337</v>
      </c>
      <c r="O32" s="12">
        <v>19785</v>
      </c>
      <c r="P32" s="23">
        <f t="shared" si="4"/>
        <v>5</v>
      </c>
    </row>
    <row r="33" spans="1:16" x14ac:dyDescent="0.2">
      <c r="A33" s="1" t="s">
        <v>311</v>
      </c>
      <c r="B33" s="2">
        <f>B30</f>
        <v>0</v>
      </c>
      <c r="C33" s="68">
        <v>7.9459999999999999E-3</v>
      </c>
      <c r="D33" s="3">
        <f>(B33*C33)</f>
        <v>0</v>
      </c>
      <c r="E33" s="38">
        <f t="shared" si="1"/>
        <v>39416</v>
      </c>
      <c r="F33" s="9" t="s">
        <v>290</v>
      </c>
      <c r="G33" s="8">
        <v>19627</v>
      </c>
      <c r="H33" s="75">
        <f t="shared" si="0"/>
        <v>3</v>
      </c>
      <c r="I33" s="41">
        <f>I32+1</f>
        <v>38716</v>
      </c>
      <c r="J33" s="11" t="s">
        <v>25</v>
      </c>
      <c r="K33" s="10">
        <v>19714</v>
      </c>
      <c r="L33" s="30">
        <f t="shared" si="5"/>
        <v>0</v>
      </c>
      <c r="M33" s="43">
        <f>M32+1</f>
        <v>38382</v>
      </c>
      <c r="N33" s="13" t="s">
        <v>290</v>
      </c>
      <c r="O33" s="12">
        <v>19788</v>
      </c>
      <c r="P33" s="23">
        <f t="shared" si="4"/>
        <v>3</v>
      </c>
    </row>
    <row r="34" spans="1:16" x14ac:dyDescent="0.2">
      <c r="A34" s="1" t="s">
        <v>312</v>
      </c>
      <c r="B34" s="2">
        <f>B31</f>
        <v>10.213190000000001</v>
      </c>
      <c r="C34" s="68">
        <v>7.9459999999999999E-3</v>
      </c>
      <c r="D34" s="3">
        <f t="shared" ref="D34:D48" si="6">B34*C34</f>
        <v>8.1154007740000006E-2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 t="s">
        <v>26</v>
      </c>
      <c r="K34" s="10">
        <v>19714</v>
      </c>
      <c r="L34" s="30">
        <f t="shared" si="5"/>
        <v>0</v>
      </c>
      <c r="M34" s="43">
        <f>M33+1</f>
        <v>38383</v>
      </c>
      <c r="N34" s="13" t="s">
        <v>290</v>
      </c>
      <c r="O34" s="12">
        <v>19791</v>
      </c>
      <c r="P34" s="23">
        <f t="shared" si="4"/>
        <v>3</v>
      </c>
    </row>
    <row r="35" spans="1:16" ht="13.5" thickBot="1" x14ac:dyDescent="0.25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301</v>
      </c>
      <c r="B36" s="2">
        <f t="shared" ref="B36:B41" si="7">B30</f>
        <v>0</v>
      </c>
      <c r="C36" s="3">
        <v>5.9560000000000002E-2</v>
      </c>
      <c r="D36" s="3">
        <f t="shared" si="6"/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302</v>
      </c>
      <c r="B37" s="2">
        <f t="shared" si="7"/>
        <v>10.213190000000001</v>
      </c>
      <c r="C37" s="3">
        <f>0.0376+0.002474+0.00642+0.0001</f>
        <v>4.6594000000000003E-2</v>
      </c>
      <c r="D37" s="3">
        <f t="shared" si="6"/>
        <v>0.47587337486000009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v>38384</v>
      </c>
      <c r="F38" s="9">
        <v>0.77083333333333337</v>
      </c>
      <c r="G38" s="8">
        <v>19794</v>
      </c>
      <c r="H38" s="75">
        <f>G38-O34</f>
        <v>3</v>
      </c>
      <c r="I38" s="46">
        <v>38412</v>
      </c>
      <c r="J38" s="11" t="s">
        <v>290</v>
      </c>
      <c r="K38" s="10">
        <v>19905</v>
      </c>
      <c r="L38" s="30">
        <f>IF(AND(H69&lt;&gt;"",K38&lt;&gt;""),K38-K37,K38-MAX(G38:G69))</f>
        <v>7</v>
      </c>
      <c r="M38" s="43">
        <v>38443</v>
      </c>
      <c r="N38" s="13" t="s">
        <v>34</v>
      </c>
      <c r="O38" s="12">
        <v>19961</v>
      </c>
      <c r="P38" s="23">
        <f>IF(AND(L69&lt;&gt;"",O38&lt;&gt;""),O38-O37,O38-MAX(K38:K69))</f>
        <v>0</v>
      </c>
    </row>
    <row r="39" spans="1:16" x14ac:dyDescent="0.2">
      <c r="A39" s="1" t="s">
        <v>292</v>
      </c>
      <c r="B39" s="2">
        <f t="shared" si="7"/>
        <v>0</v>
      </c>
      <c r="C39" s="3">
        <v>3.0720999999999998E-2</v>
      </c>
      <c r="D39" s="3">
        <f t="shared" si="6"/>
        <v>0</v>
      </c>
      <c r="E39" s="38">
        <f>E38+1</f>
        <v>38385</v>
      </c>
      <c r="F39" s="9">
        <v>0.77083333333333337</v>
      </c>
      <c r="G39" s="8">
        <v>19798</v>
      </c>
      <c r="H39" s="75">
        <f t="shared" ref="H39:H62" si="8">IF(AND(H38&lt;&gt;"",G39&lt;&gt;""),G39-G38,"")</f>
        <v>4</v>
      </c>
      <c r="I39" s="41">
        <f>I38+1</f>
        <v>38413</v>
      </c>
      <c r="J39" s="11">
        <v>0.77083333333333337</v>
      </c>
      <c r="K39" s="10">
        <v>19911</v>
      </c>
      <c r="L39" s="30">
        <f t="shared" ref="L39:L69" si="9">IF(AND(L38&lt;&gt;"",K39&lt;&gt;""),K39-K38,"")</f>
        <v>6</v>
      </c>
      <c r="M39" s="43">
        <f>M38+1</f>
        <v>38444</v>
      </c>
      <c r="N39" s="13" t="s">
        <v>72</v>
      </c>
      <c r="O39" s="12">
        <v>19961</v>
      </c>
      <c r="P39" s="23">
        <f t="shared" ref="P39:P67" si="10">IF(AND(P38&lt;&gt;"",O39&lt;&gt;""),O39-O38,"")</f>
        <v>0</v>
      </c>
    </row>
    <row r="40" spans="1:16" x14ac:dyDescent="0.2">
      <c r="A40" s="1" t="s">
        <v>293</v>
      </c>
      <c r="B40" s="2">
        <f t="shared" si="7"/>
        <v>10.213190000000001</v>
      </c>
      <c r="C40" s="3">
        <v>3.0720999999999998E-2</v>
      </c>
      <c r="D40" s="3">
        <f t="shared" si="6"/>
        <v>0.31375940999000002</v>
      </c>
      <c r="E40" s="38">
        <f t="shared" ref="E40:E65" si="11">E39+1</f>
        <v>38386</v>
      </c>
      <c r="F40" s="9" t="s">
        <v>25</v>
      </c>
      <c r="G40" s="8">
        <v>19798</v>
      </c>
      <c r="H40" s="75">
        <f t="shared" si="8"/>
        <v>0</v>
      </c>
      <c r="I40" s="41">
        <f t="shared" ref="I40:I62" si="12">I39+1</f>
        <v>38414</v>
      </c>
      <c r="J40" s="11" t="s">
        <v>25</v>
      </c>
      <c r="K40" s="10">
        <v>19911</v>
      </c>
      <c r="L40" s="30">
        <f t="shared" si="9"/>
        <v>0</v>
      </c>
      <c r="M40" s="43">
        <f t="shared" ref="M40:M67" si="13">M39+1</f>
        <v>38445</v>
      </c>
      <c r="N40" s="13">
        <v>0.77083333333333337</v>
      </c>
      <c r="O40" s="12">
        <v>19961</v>
      </c>
      <c r="P40" s="23">
        <f t="shared" si="10"/>
        <v>0</v>
      </c>
    </row>
    <row r="41" spans="1:16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38387</v>
      </c>
      <c r="F41" s="9" t="s">
        <v>26</v>
      </c>
      <c r="G41" s="8">
        <v>19798</v>
      </c>
      <c r="H41" s="75">
        <f t="shared" si="8"/>
        <v>0</v>
      </c>
      <c r="I41" s="41">
        <f t="shared" si="12"/>
        <v>38415</v>
      </c>
      <c r="J41" s="11" t="s">
        <v>26</v>
      </c>
      <c r="K41" s="10">
        <v>19911</v>
      </c>
      <c r="L41" s="30">
        <f t="shared" si="9"/>
        <v>0</v>
      </c>
      <c r="M41" s="43">
        <f t="shared" si="13"/>
        <v>38446</v>
      </c>
      <c r="N41" s="13">
        <v>0.77083333333333337</v>
      </c>
      <c r="O41" s="12">
        <v>19962</v>
      </c>
      <c r="P41" s="23">
        <f t="shared" si="10"/>
        <v>1</v>
      </c>
    </row>
    <row r="42" spans="1:16" x14ac:dyDescent="0.2">
      <c r="A42" s="1" t="s">
        <v>323</v>
      </c>
      <c r="B42" s="2">
        <f ca="1">B28</f>
        <v>1800</v>
      </c>
      <c r="C42" s="70">
        <f>(B62+B63+B64)/365</f>
        <v>0.2233698630136986</v>
      </c>
      <c r="D42" s="3">
        <f t="shared" ca="1" si="6"/>
        <v>402.06575342465749</v>
      </c>
      <c r="E42" s="38">
        <f t="shared" si="11"/>
        <v>38388</v>
      </c>
      <c r="F42" s="9">
        <v>0.77083333333333337</v>
      </c>
      <c r="G42" s="8">
        <v>19809</v>
      </c>
      <c r="H42" s="75">
        <f t="shared" si="8"/>
        <v>11</v>
      </c>
      <c r="I42" s="41">
        <f t="shared" si="12"/>
        <v>38416</v>
      </c>
      <c r="J42" s="11">
        <v>0.77083333333333337</v>
      </c>
      <c r="K42" s="10">
        <v>19925</v>
      </c>
      <c r="L42" s="30">
        <f t="shared" si="9"/>
        <v>14</v>
      </c>
      <c r="M42" s="43">
        <f t="shared" si="13"/>
        <v>38447</v>
      </c>
      <c r="N42" s="13">
        <v>0.77083333333333337</v>
      </c>
      <c r="O42" s="12">
        <v>19963</v>
      </c>
      <c r="P42" s="23">
        <f t="shared" si="10"/>
        <v>1</v>
      </c>
    </row>
    <row r="43" spans="1:16" x14ac:dyDescent="0.2">
      <c r="A43" s="1" t="s">
        <v>22</v>
      </c>
      <c r="B43" s="2">
        <f>B30</f>
        <v>0</v>
      </c>
      <c r="C43" s="3">
        <v>2.6554000000000001E-2</v>
      </c>
      <c r="D43" s="3">
        <f t="shared" si="6"/>
        <v>0</v>
      </c>
      <c r="E43" s="38">
        <f t="shared" si="11"/>
        <v>38389</v>
      </c>
      <c r="F43" s="9">
        <v>0.77083333333333337</v>
      </c>
      <c r="G43" s="8">
        <v>19813</v>
      </c>
      <c r="H43" s="75">
        <f t="shared" si="8"/>
        <v>4</v>
      </c>
      <c r="I43" s="41">
        <f t="shared" si="12"/>
        <v>38417</v>
      </c>
      <c r="J43" s="11">
        <v>0.77083333333333337</v>
      </c>
      <c r="K43" s="10">
        <v>19929</v>
      </c>
      <c r="L43" s="30">
        <f t="shared" si="9"/>
        <v>4</v>
      </c>
      <c r="M43" s="43">
        <f t="shared" si="13"/>
        <v>38448</v>
      </c>
      <c r="N43" s="13">
        <v>0.77083333333333337</v>
      </c>
      <c r="O43" s="12">
        <v>19963</v>
      </c>
      <c r="P43" s="23">
        <f t="shared" si="10"/>
        <v>0</v>
      </c>
    </row>
    <row r="44" spans="1:16" x14ac:dyDescent="0.2">
      <c r="A44" s="1" t="s">
        <v>15</v>
      </c>
      <c r="B44" s="2">
        <f>B31</f>
        <v>10.213190000000001</v>
      </c>
      <c r="C44" s="3">
        <v>0.125357</v>
      </c>
      <c r="D44" s="3">
        <f t="shared" si="6"/>
        <v>1.28029485883</v>
      </c>
      <c r="E44" s="38">
        <f t="shared" si="11"/>
        <v>38390</v>
      </c>
      <c r="F44" s="9">
        <v>0.77083333333333337</v>
      </c>
      <c r="G44" s="8">
        <v>19817</v>
      </c>
      <c r="H44" s="75">
        <f t="shared" si="8"/>
        <v>4</v>
      </c>
      <c r="I44" s="41">
        <f t="shared" si="12"/>
        <v>38418</v>
      </c>
      <c r="J44" s="11">
        <v>0.77083333333333337</v>
      </c>
      <c r="K44" s="10">
        <v>19931</v>
      </c>
      <c r="L44" s="30">
        <f t="shared" si="9"/>
        <v>2</v>
      </c>
      <c r="M44" s="43">
        <f t="shared" si="13"/>
        <v>38449</v>
      </c>
      <c r="N44" s="13" t="s">
        <v>25</v>
      </c>
      <c r="O44" s="12"/>
      <c r="P44" s="23" t="str">
        <f t="shared" si="10"/>
        <v/>
      </c>
    </row>
    <row r="45" spans="1:16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38391</v>
      </c>
      <c r="F45" s="9">
        <v>0.77083333333333337</v>
      </c>
      <c r="G45" s="8">
        <v>19821</v>
      </c>
      <c r="H45" s="75">
        <f t="shared" si="8"/>
        <v>4</v>
      </c>
      <c r="I45" s="41">
        <f t="shared" si="12"/>
        <v>38419</v>
      </c>
      <c r="J45" s="11">
        <v>0.77083333333333337</v>
      </c>
      <c r="K45" s="10">
        <v>19933</v>
      </c>
      <c r="L45" s="30">
        <f t="shared" si="9"/>
        <v>2</v>
      </c>
      <c r="M45" s="43">
        <f t="shared" si="13"/>
        <v>38450</v>
      </c>
      <c r="N45" s="13" t="s">
        <v>26</v>
      </c>
      <c r="O45" s="12"/>
      <c r="P45" s="23" t="str">
        <f t="shared" si="10"/>
        <v/>
      </c>
    </row>
    <row r="46" spans="1:16" x14ac:dyDescent="0.2">
      <c r="A46" s="1" t="s">
        <v>314</v>
      </c>
      <c r="B46" s="104">
        <f>B30</f>
        <v>0</v>
      </c>
      <c r="C46" s="120">
        <f>B58</f>
        <v>4.3999999999999997E-2</v>
      </c>
      <c r="D46" s="3">
        <f t="shared" si="6"/>
        <v>0</v>
      </c>
      <c r="E46" s="38">
        <f t="shared" si="11"/>
        <v>38392</v>
      </c>
      <c r="F46" s="9">
        <v>0.77083333333333337</v>
      </c>
      <c r="G46" s="8">
        <v>19824</v>
      </c>
      <c r="H46" s="75">
        <f t="shared" si="8"/>
        <v>3</v>
      </c>
      <c r="I46" s="41">
        <f t="shared" si="12"/>
        <v>38420</v>
      </c>
      <c r="J46" s="11">
        <v>0.77083333333333337</v>
      </c>
      <c r="K46" s="10">
        <v>19935</v>
      </c>
      <c r="L46" s="30">
        <f t="shared" si="9"/>
        <v>2</v>
      </c>
      <c r="M46" s="43">
        <f t="shared" si="13"/>
        <v>38451</v>
      </c>
      <c r="N46" s="13">
        <v>0.77083333333333337</v>
      </c>
      <c r="O46" s="12"/>
      <c r="P46" s="23" t="str">
        <f t="shared" si="10"/>
        <v/>
      </c>
    </row>
    <row r="47" spans="1:16" x14ac:dyDescent="0.2">
      <c r="A47" s="1" t="s">
        <v>315</v>
      </c>
      <c r="B47" s="2">
        <f>B31</f>
        <v>10.213190000000001</v>
      </c>
      <c r="C47" s="3">
        <f>B59</f>
        <v>0.17499999999999999</v>
      </c>
      <c r="D47" s="3">
        <f t="shared" si="6"/>
        <v>1.7873082499999999</v>
      </c>
      <c r="E47" s="38">
        <f t="shared" si="11"/>
        <v>38393</v>
      </c>
      <c r="F47" s="9" t="s">
        <v>25</v>
      </c>
      <c r="G47" s="8">
        <v>19824</v>
      </c>
      <c r="H47" s="75">
        <f t="shared" si="8"/>
        <v>0</v>
      </c>
      <c r="I47" s="41">
        <f t="shared" si="12"/>
        <v>38421</v>
      </c>
      <c r="J47" s="11" t="s">
        <v>25</v>
      </c>
      <c r="K47" s="10">
        <v>19935</v>
      </c>
      <c r="L47" s="30">
        <f t="shared" si="9"/>
        <v>0</v>
      </c>
      <c r="M47" s="43">
        <f t="shared" si="13"/>
        <v>38452</v>
      </c>
      <c r="N47" s="13">
        <v>0.77083333333333337</v>
      </c>
      <c r="O47" s="12"/>
      <c r="P47" s="23" t="str">
        <f t="shared" si="10"/>
        <v/>
      </c>
    </row>
    <row r="48" spans="1:16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38394</v>
      </c>
      <c r="F48" s="9" t="s">
        <v>26</v>
      </c>
      <c r="G48" s="8">
        <v>19824</v>
      </c>
      <c r="H48" s="75">
        <f t="shared" si="8"/>
        <v>0</v>
      </c>
      <c r="I48" s="41">
        <f t="shared" si="12"/>
        <v>38422</v>
      </c>
      <c r="J48" s="11" t="s">
        <v>26</v>
      </c>
      <c r="K48" s="10">
        <v>19935</v>
      </c>
      <c r="L48" s="30">
        <f t="shared" si="9"/>
        <v>0</v>
      </c>
      <c r="M48" s="43">
        <f t="shared" si="13"/>
        <v>38453</v>
      </c>
      <c r="N48" s="13">
        <v>0.77083333333333337</v>
      </c>
      <c r="O48" s="12"/>
      <c r="P48" s="23" t="str">
        <f t="shared" si="10"/>
        <v/>
      </c>
    </row>
    <row r="49" spans="1:16" x14ac:dyDescent="0.2">
      <c r="E49" s="38">
        <f t="shared" si="11"/>
        <v>38395</v>
      </c>
      <c r="F49" s="9">
        <v>0.77083333333333337</v>
      </c>
      <c r="G49" s="8">
        <v>19832</v>
      </c>
      <c r="H49" s="75">
        <f t="shared" si="8"/>
        <v>8</v>
      </c>
      <c r="I49" s="41">
        <f t="shared" si="12"/>
        <v>38423</v>
      </c>
      <c r="J49" s="11">
        <v>0.77083333333333337</v>
      </c>
      <c r="K49" s="10">
        <v>19938</v>
      </c>
      <c r="L49" s="30">
        <f t="shared" si="9"/>
        <v>3</v>
      </c>
      <c r="M49" s="43">
        <f t="shared" si="13"/>
        <v>38454</v>
      </c>
      <c r="N49" s="13">
        <v>0.77083333333333337</v>
      </c>
      <c r="O49" s="12"/>
      <c r="P49" s="23" t="str">
        <f t="shared" si="10"/>
        <v/>
      </c>
    </row>
    <row r="50" spans="1:16" x14ac:dyDescent="0.2">
      <c r="E50" s="38">
        <f t="shared" si="11"/>
        <v>38396</v>
      </c>
      <c r="F50" s="9">
        <v>0.77083333333333337</v>
      </c>
      <c r="G50" s="8">
        <v>19836</v>
      </c>
      <c r="H50" s="75">
        <f t="shared" si="8"/>
        <v>4</v>
      </c>
      <c r="I50" s="41">
        <f t="shared" si="12"/>
        <v>38424</v>
      </c>
      <c r="J50" s="11">
        <v>0.77083333333333337</v>
      </c>
      <c r="K50" s="10">
        <v>19939</v>
      </c>
      <c r="L50" s="30">
        <f t="shared" si="9"/>
        <v>1</v>
      </c>
      <c r="M50" s="43">
        <f t="shared" si="13"/>
        <v>38455</v>
      </c>
      <c r="N50" s="13">
        <v>0.77083333333333337</v>
      </c>
      <c r="O50" s="12"/>
      <c r="P50" s="23" t="str">
        <f t="shared" si="10"/>
        <v/>
      </c>
    </row>
    <row r="51" spans="1:16" x14ac:dyDescent="0.2">
      <c r="A51" s="1" t="s">
        <v>96</v>
      </c>
      <c r="B51" s="2"/>
      <c r="C51" s="3"/>
      <c r="D51" s="55">
        <f>(SUM(D30:D31)+SUM(D33:D34)+SUM(D36:D37)+SUM(D39:D40)+SUM(D43+D44+D46+D47))*1.1</f>
        <v>7.4089115263020009</v>
      </c>
      <c r="E51" s="38">
        <f t="shared" si="11"/>
        <v>38397</v>
      </c>
      <c r="F51" s="9">
        <v>0.77083333333333337</v>
      </c>
      <c r="G51" s="8">
        <v>19840</v>
      </c>
      <c r="H51" s="75">
        <f t="shared" si="8"/>
        <v>4</v>
      </c>
      <c r="I51" s="41">
        <f t="shared" si="12"/>
        <v>38425</v>
      </c>
      <c r="J51" s="11">
        <v>0.77083333333333337</v>
      </c>
      <c r="K51" s="10">
        <v>19940</v>
      </c>
      <c r="L51" s="30">
        <f t="shared" si="9"/>
        <v>1</v>
      </c>
      <c r="M51" s="43">
        <f t="shared" si="13"/>
        <v>38456</v>
      </c>
      <c r="N51" s="13" t="s">
        <v>25</v>
      </c>
      <c r="O51" s="12"/>
      <c r="P51" s="23" t="str">
        <f t="shared" si="10"/>
        <v/>
      </c>
    </row>
    <row r="52" spans="1:16" x14ac:dyDescent="0.2">
      <c r="A52" s="1" t="s">
        <v>264</v>
      </c>
      <c r="D52" s="55">
        <f ca="1">(SUM(D32+D35+D38+D41+D42+D45+D48))*1.22</f>
        <v>490.52021917808213</v>
      </c>
      <c r="E52" s="38">
        <f t="shared" si="11"/>
        <v>38398</v>
      </c>
      <c r="F52" s="9">
        <v>0.77083333333333337</v>
      </c>
      <c r="G52" s="8">
        <v>19845</v>
      </c>
      <c r="H52" s="75">
        <f t="shared" si="8"/>
        <v>5</v>
      </c>
      <c r="I52" s="41">
        <f t="shared" si="12"/>
        <v>38426</v>
      </c>
      <c r="J52" s="11">
        <v>0.77083333333333337</v>
      </c>
      <c r="K52" s="10">
        <v>19941</v>
      </c>
      <c r="L52" s="30">
        <f t="shared" si="9"/>
        <v>1</v>
      </c>
      <c r="M52" s="43">
        <f t="shared" si="13"/>
        <v>38457</v>
      </c>
      <c r="N52" s="13" t="s">
        <v>26</v>
      </c>
      <c r="O52" s="12"/>
      <c r="P52" s="23" t="str">
        <f t="shared" si="10"/>
        <v/>
      </c>
    </row>
    <row r="53" spans="1:16" x14ac:dyDescent="0.2">
      <c r="A53" s="1"/>
      <c r="B53" s="2"/>
      <c r="C53" s="3"/>
      <c r="D53" s="3"/>
      <c r="E53" s="38">
        <f t="shared" si="11"/>
        <v>38399</v>
      </c>
      <c r="F53" s="9">
        <v>0.77083333333333337</v>
      </c>
      <c r="G53" s="8">
        <v>19849</v>
      </c>
      <c r="H53" s="75">
        <f t="shared" si="8"/>
        <v>4</v>
      </c>
      <c r="I53" s="41">
        <f t="shared" si="12"/>
        <v>38427</v>
      </c>
      <c r="J53" s="11">
        <v>0.77083333333333337</v>
      </c>
      <c r="K53" s="10">
        <v>19942</v>
      </c>
      <c r="L53" s="30">
        <f t="shared" si="9"/>
        <v>1</v>
      </c>
      <c r="M53" s="43">
        <f t="shared" si="13"/>
        <v>38458</v>
      </c>
      <c r="N53" s="13">
        <v>0.77083333333333337</v>
      </c>
      <c r="O53" s="12"/>
      <c r="P53" s="23" t="str">
        <f t="shared" si="10"/>
        <v/>
      </c>
    </row>
    <row r="54" spans="1:16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38400</v>
      </c>
      <c r="F54" s="9" t="s">
        <v>25</v>
      </c>
      <c r="G54" s="8">
        <v>19849</v>
      </c>
      <c r="H54" s="75">
        <f t="shared" si="8"/>
        <v>0</v>
      </c>
      <c r="I54" s="41">
        <f t="shared" si="12"/>
        <v>38428</v>
      </c>
      <c r="J54" s="11" t="s">
        <v>25</v>
      </c>
      <c r="K54" s="10">
        <v>19942</v>
      </c>
      <c r="L54" s="30">
        <f t="shared" si="9"/>
        <v>0</v>
      </c>
      <c r="M54" s="43">
        <f t="shared" si="13"/>
        <v>38459</v>
      </c>
      <c r="N54" s="13">
        <v>0.77083333333333337</v>
      </c>
      <c r="O54" s="12"/>
      <c r="P54" s="23" t="str">
        <f t="shared" si="10"/>
        <v/>
      </c>
    </row>
    <row r="55" spans="1:16" x14ac:dyDescent="0.2">
      <c r="A55" s="1" t="s">
        <v>299</v>
      </c>
      <c r="B55" s="26">
        <v>0.27385999999999999</v>
      </c>
      <c r="C55" s="65"/>
      <c r="D55" s="3"/>
      <c r="E55" s="38">
        <f t="shared" si="11"/>
        <v>38401</v>
      </c>
      <c r="F55" s="9" t="s">
        <v>26</v>
      </c>
      <c r="G55" s="8">
        <v>19849</v>
      </c>
      <c r="H55" s="75">
        <f t="shared" si="8"/>
        <v>0</v>
      </c>
      <c r="I55" s="41">
        <f t="shared" si="12"/>
        <v>38429</v>
      </c>
      <c r="J55" s="11" t="s">
        <v>26</v>
      </c>
      <c r="K55" s="10">
        <v>19942</v>
      </c>
      <c r="L55" s="30">
        <f t="shared" si="9"/>
        <v>0</v>
      </c>
      <c r="M55" s="43">
        <f t="shared" si="13"/>
        <v>38460</v>
      </c>
      <c r="N55" s="13">
        <v>0.77083333333333337</v>
      </c>
      <c r="O55" s="12"/>
      <c r="P55" s="23" t="str">
        <f t="shared" si="10"/>
        <v/>
      </c>
    </row>
    <row r="56" spans="1:16" x14ac:dyDescent="0.2">
      <c r="A56" s="1" t="s">
        <v>300</v>
      </c>
      <c r="B56" s="26">
        <v>0.27385999999999999</v>
      </c>
      <c r="C56" s="65"/>
      <c r="D56" s="3"/>
      <c r="E56" s="38">
        <f t="shared" si="11"/>
        <v>38402</v>
      </c>
      <c r="F56" s="9">
        <v>0.77083333333333337</v>
      </c>
      <c r="G56" s="8">
        <v>19859</v>
      </c>
      <c r="H56" s="75">
        <f t="shared" si="8"/>
        <v>10</v>
      </c>
      <c r="I56" s="41">
        <f t="shared" si="12"/>
        <v>38430</v>
      </c>
      <c r="J56" s="11">
        <v>0.77083333333333337</v>
      </c>
      <c r="K56" s="10">
        <v>19946</v>
      </c>
      <c r="L56" s="30">
        <f t="shared" si="9"/>
        <v>4</v>
      </c>
      <c r="M56" s="43">
        <f t="shared" si="13"/>
        <v>38461</v>
      </c>
      <c r="N56" s="13">
        <v>0.77083333333333337</v>
      </c>
      <c r="O56" s="12"/>
      <c r="P56" s="23" t="str">
        <f t="shared" si="10"/>
        <v/>
      </c>
    </row>
    <row r="57" spans="1:16" x14ac:dyDescent="0.2">
      <c r="A57" s="1"/>
      <c r="B57" s="2"/>
      <c r="C57" s="3"/>
      <c r="D57" s="3"/>
      <c r="E57" s="38">
        <f t="shared" si="11"/>
        <v>38403</v>
      </c>
      <c r="F57" s="9">
        <v>0.77083333333333337</v>
      </c>
      <c r="G57" s="8">
        <v>19862</v>
      </c>
      <c r="H57" s="75">
        <f t="shared" si="8"/>
        <v>3</v>
      </c>
      <c r="I57" s="41">
        <f t="shared" si="12"/>
        <v>38431</v>
      </c>
      <c r="J57" s="11">
        <v>0.77083333333333337</v>
      </c>
      <c r="K57" s="10">
        <v>19948</v>
      </c>
      <c r="L57" s="30">
        <f t="shared" si="9"/>
        <v>2</v>
      </c>
      <c r="M57" s="43">
        <f t="shared" si="13"/>
        <v>38462</v>
      </c>
      <c r="N57" s="13">
        <v>0.77083333333333337</v>
      </c>
      <c r="O57" s="12"/>
      <c r="P57" s="23" t="str">
        <f t="shared" si="10"/>
        <v/>
      </c>
    </row>
    <row r="58" spans="1:16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38404</v>
      </c>
      <c r="F58" s="9">
        <v>0.77083333333333337</v>
      </c>
      <c r="G58" s="8">
        <v>19866</v>
      </c>
      <c r="H58" s="75">
        <f t="shared" si="8"/>
        <v>4</v>
      </c>
      <c r="I58" s="41">
        <f t="shared" si="12"/>
        <v>38432</v>
      </c>
      <c r="J58" s="11">
        <v>0.77083333333333337</v>
      </c>
      <c r="K58" s="10">
        <v>19950</v>
      </c>
      <c r="L58" s="30">
        <f t="shared" si="9"/>
        <v>2</v>
      </c>
      <c r="M58" s="43">
        <f t="shared" si="13"/>
        <v>38463</v>
      </c>
      <c r="N58" s="13" t="s">
        <v>25</v>
      </c>
      <c r="O58" s="12"/>
      <c r="P58" s="23" t="str">
        <f t="shared" si="10"/>
        <v/>
      </c>
    </row>
    <row r="59" spans="1:16" x14ac:dyDescent="0.2">
      <c r="A59" s="1" t="s">
        <v>304</v>
      </c>
      <c r="B59" s="26">
        <v>0.17499999999999999</v>
      </c>
      <c r="C59" s="3"/>
      <c r="D59" s="3"/>
      <c r="E59" s="38">
        <f t="shared" si="11"/>
        <v>38405</v>
      </c>
      <c r="F59" s="9">
        <v>0.77083333333333337</v>
      </c>
      <c r="G59" s="8">
        <v>19869</v>
      </c>
      <c r="H59" s="75">
        <f t="shared" si="8"/>
        <v>3</v>
      </c>
      <c r="I59" s="41">
        <f t="shared" si="12"/>
        <v>38433</v>
      </c>
      <c r="J59" s="11">
        <v>0.77083333333333337</v>
      </c>
      <c r="K59" s="10">
        <v>19953</v>
      </c>
      <c r="L59" s="30">
        <f t="shared" si="9"/>
        <v>3</v>
      </c>
      <c r="M59" s="43">
        <f t="shared" si="13"/>
        <v>38464</v>
      </c>
      <c r="N59" s="13" t="s">
        <v>26</v>
      </c>
      <c r="O59" s="12"/>
      <c r="P59" s="23" t="str">
        <f t="shared" si="10"/>
        <v/>
      </c>
    </row>
    <row r="60" spans="1:16" x14ac:dyDescent="0.2">
      <c r="A60" s="1" t="s">
        <v>305</v>
      </c>
      <c r="B60" s="26">
        <v>0.17</v>
      </c>
      <c r="C60" s="3"/>
      <c r="D60" s="3"/>
      <c r="E60" s="38">
        <f t="shared" si="11"/>
        <v>38406</v>
      </c>
      <c r="F60" s="9">
        <v>0.77083333333333337</v>
      </c>
      <c r="G60" s="8">
        <v>19874</v>
      </c>
      <c r="H60" s="75">
        <f t="shared" si="8"/>
        <v>5</v>
      </c>
      <c r="I60" s="41">
        <f t="shared" si="12"/>
        <v>38434</v>
      </c>
      <c r="J60" s="11">
        <v>0.77083333333333337</v>
      </c>
      <c r="K60" s="10">
        <v>19955</v>
      </c>
      <c r="L60" s="30">
        <f t="shared" si="9"/>
        <v>2</v>
      </c>
      <c r="M60" s="43">
        <f t="shared" si="13"/>
        <v>38465</v>
      </c>
      <c r="N60" s="13">
        <v>0.77083333333333337</v>
      </c>
      <c r="O60" s="12"/>
      <c r="P60" s="23" t="str">
        <f t="shared" si="10"/>
        <v/>
      </c>
    </row>
    <row r="61" spans="1:16" x14ac:dyDescent="0.2">
      <c r="A61" s="1"/>
      <c r="B61" s="2"/>
      <c r="C61" s="3"/>
      <c r="D61" s="3"/>
      <c r="E61" s="38">
        <f t="shared" si="11"/>
        <v>38407</v>
      </c>
      <c r="F61" s="9" t="s">
        <v>25</v>
      </c>
      <c r="G61" s="8">
        <v>19874</v>
      </c>
      <c r="H61" s="75">
        <f t="shared" si="8"/>
        <v>0</v>
      </c>
      <c r="I61" s="41">
        <f t="shared" si="12"/>
        <v>38435</v>
      </c>
      <c r="J61" s="11" t="s">
        <v>25</v>
      </c>
      <c r="K61" s="10">
        <v>19955</v>
      </c>
      <c r="L61" s="30">
        <f t="shared" si="9"/>
        <v>0</v>
      </c>
      <c r="M61" s="43">
        <f t="shared" si="13"/>
        <v>38466</v>
      </c>
      <c r="N61" s="13">
        <v>0.77083333333333337</v>
      </c>
      <c r="O61" s="12"/>
      <c r="P61" s="23" t="str">
        <f t="shared" si="10"/>
        <v/>
      </c>
    </row>
    <row r="62" spans="1:16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38408</v>
      </c>
      <c r="F62" s="9" t="s">
        <v>26</v>
      </c>
      <c r="G62" s="8">
        <v>19874</v>
      </c>
      <c r="H62" s="75">
        <f t="shared" si="8"/>
        <v>0</v>
      </c>
      <c r="I62" s="41">
        <f t="shared" si="12"/>
        <v>38436</v>
      </c>
      <c r="J62" s="11" t="s">
        <v>26</v>
      </c>
      <c r="K62" s="10">
        <v>19955</v>
      </c>
      <c r="L62" s="30">
        <f t="shared" si="9"/>
        <v>0</v>
      </c>
      <c r="M62" s="43">
        <f t="shared" si="13"/>
        <v>38467</v>
      </c>
      <c r="N62" s="13">
        <v>0.77083333333333337</v>
      </c>
      <c r="O62" s="12"/>
      <c r="P62" s="23" t="str">
        <f t="shared" si="10"/>
        <v/>
      </c>
    </row>
    <row r="63" spans="1:16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38409</v>
      </c>
      <c r="F63" s="9">
        <v>0.77083333333333337</v>
      </c>
      <c r="G63" s="8">
        <v>19883</v>
      </c>
      <c r="H63" s="75">
        <f>IF(AND(H62&lt;&gt;"",G63&lt;&gt;""),G63-G62,"")</f>
        <v>9</v>
      </c>
      <c r="I63" s="41">
        <v>38802</v>
      </c>
      <c r="J63" s="11">
        <v>0.77083333333333337</v>
      </c>
      <c r="K63" s="10">
        <v>19958</v>
      </c>
      <c r="L63" s="30">
        <f t="shared" si="9"/>
        <v>3</v>
      </c>
      <c r="M63" s="43">
        <f t="shared" si="13"/>
        <v>38468</v>
      </c>
      <c r="N63" s="13">
        <v>0.77083333333333337</v>
      </c>
      <c r="O63" s="12"/>
      <c r="P63" s="23" t="str">
        <f t="shared" si="10"/>
        <v/>
      </c>
    </row>
    <row r="64" spans="1:16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38410</v>
      </c>
      <c r="F64" s="9" t="s">
        <v>290</v>
      </c>
      <c r="G64" s="8">
        <v>19891</v>
      </c>
      <c r="H64" s="75">
        <f>IF(AND(H63&lt;&gt;"",G64&lt;&gt;""),G64-G63,"")</f>
        <v>8</v>
      </c>
      <c r="I64" s="41">
        <v>38803</v>
      </c>
      <c r="J64" s="11" t="s">
        <v>290</v>
      </c>
      <c r="K64" s="10">
        <v>19960</v>
      </c>
      <c r="L64" s="30">
        <f t="shared" si="9"/>
        <v>2</v>
      </c>
      <c r="M64" s="43">
        <f t="shared" si="13"/>
        <v>38469</v>
      </c>
      <c r="N64" s="13">
        <v>0.77083333333333337</v>
      </c>
      <c r="O64" s="12"/>
      <c r="P64" s="23" t="str">
        <f t="shared" si="10"/>
        <v/>
      </c>
    </row>
    <row r="65" spans="1:16" x14ac:dyDescent="0.2">
      <c r="A65" s="1" t="s">
        <v>91</v>
      </c>
      <c r="B65" s="26">
        <v>0</v>
      </c>
      <c r="C65" s="3" t="s">
        <v>86</v>
      </c>
      <c r="D65" s="3"/>
      <c r="E65" s="38">
        <f t="shared" si="11"/>
        <v>38411</v>
      </c>
      <c r="F65" s="9" t="s">
        <v>290</v>
      </c>
      <c r="G65" s="8">
        <v>19898</v>
      </c>
      <c r="H65" s="75">
        <f>IF(AND(H64&lt;&gt;"",G65&lt;&gt;""),G65-G64,"")</f>
        <v>7</v>
      </c>
      <c r="I65" s="41">
        <v>38804</v>
      </c>
      <c r="J65" s="11" t="s">
        <v>290</v>
      </c>
      <c r="K65" s="10">
        <v>19961</v>
      </c>
      <c r="L65" s="30">
        <f t="shared" si="9"/>
        <v>1</v>
      </c>
      <c r="M65" s="43">
        <f t="shared" si="13"/>
        <v>38470</v>
      </c>
      <c r="N65" s="13" t="s">
        <v>25</v>
      </c>
      <c r="O65" s="12"/>
      <c r="P65" s="23" t="str">
        <f t="shared" si="10"/>
        <v/>
      </c>
    </row>
    <row r="66" spans="1:16" x14ac:dyDescent="0.2">
      <c r="A66" s="1"/>
      <c r="B66" s="2"/>
      <c r="C66" s="3"/>
      <c r="D66" s="3"/>
      <c r="E66" s="38"/>
      <c r="F66" s="9"/>
      <c r="G66" s="107"/>
      <c r="H66" s="75" t="str">
        <f>IF(AND(H65&lt;&gt;"",G66&lt;&gt;""),G66-G65,"")</f>
        <v/>
      </c>
      <c r="I66" s="41">
        <v>38805</v>
      </c>
      <c r="J66" s="11">
        <v>0.77083333333333337</v>
      </c>
      <c r="K66" s="10">
        <v>19961</v>
      </c>
      <c r="L66" s="30">
        <f t="shared" si="9"/>
        <v>0</v>
      </c>
      <c r="M66" s="43">
        <f t="shared" si="13"/>
        <v>38471</v>
      </c>
      <c r="N66" s="13" t="s">
        <v>26</v>
      </c>
      <c r="O66" s="12"/>
      <c r="P66" s="23" t="str">
        <f t="shared" si="10"/>
        <v/>
      </c>
    </row>
    <row r="67" spans="1:16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38806</v>
      </c>
      <c r="J67" s="11">
        <v>0.77083333333333337</v>
      </c>
      <c r="K67" s="10">
        <v>19961</v>
      </c>
      <c r="L67" s="30">
        <f t="shared" si="9"/>
        <v>0</v>
      </c>
      <c r="M67" s="43">
        <f t="shared" si="13"/>
        <v>38472</v>
      </c>
      <c r="N67" s="13">
        <v>0.77083333333333337</v>
      </c>
      <c r="O67" s="12"/>
      <c r="P67" s="23" t="str">
        <f t="shared" si="10"/>
        <v/>
      </c>
    </row>
    <row r="68" spans="1:16" x14ac:dyDescent="0.2">
      <c r="A68" s="1" t="s">
        <v>194</v>
      </c>
      <c r="B68" s="102">
        <v>1.0213190000000001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 t="s">
        <v>25</v>
      </c>
      <c r="K68" s="10">
        <v>19961</v>
      </c>
      <c r="L68" s="30">
        <f t="shared" si="9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9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>
      <c r="A70" s="72" t="s">
        <v>24</v>
      </c>
      <c r="B70" s="55">
        <f ca="1">B2</f>
        <v>497.92913070438414</v>
      </c>
    </row>
  </sheetData>
  <mergeCells count="5">
    <mergeCell ref="C5:D5"/>
    <mergeCell ref="C6:D6"/>
    <mergeCell ref="C7:D7"/>
    <mergeCell ref="C8:D8"/>
    <mergeCell ref="C9:D9"/>
  </mergeCells>
  <conditionalFormatting sqref="P4">
    <cfRule type="cellIs" dxfId="67" priority="8" stopIfTrue="1" operator="lessThan">
      <formula>0</formula>
    </cfRule>
    <cfRule type="cellIs" dxfId="66" priority="9" stopIfTrue="1" operator="lessThan">
      <formula>0</formula>
    </cfRule>
  </conditionalFormatting>
  <conditionalFormatting sqref="L38">
    <cfRule type="cellIs" dxfId="65" priority="7" stopIfTrue="1" operator="lessThan">
      <formula>0</formula>
    </cfRule>
  </conditionalFormatting>
  <conditionalFormatting sqref="H38">
    <cfRule type="cellIs" dxfId="64" priority="6" stopIfTrue="1" operator="lessThan">
      <formula>0</formula>
    </cfRule>
  </conditionalFormatting>
  <conditionalFormatting sqref="P38">
    <cfRule type="cellIs" dxfId="63" priority="5" stopIfTrue="1" operator="lessThan">
      <formula>0</formula>
    </cfRule>
  </conditionalFormatting>
  <conditionalFormatting sqref="B28">
    <cfRule type="cellIs" dxfId="62" priority="4" stopIfTrue="1" operator="greaterThan">
      <formula>366</formula>
    </cfRule>
  </conditionalFormatting>
  <conditionalFormatting sqref="B43:B45 B30:B41">
    <cfRule type="cellIs" dxfId="61" priority="2" stopIfTrue="1" operator="greaterThan">
      <formula>366</formula>
    </cfRule>
    <cfRule type="cellIs" dxfId="60" priority="3" stopIfTrue="1" operator="greaterThan">
      <formula>40472</formula>
    </cfRule>
  </conditionalFormatting>
  <conditionalFormatting sqref="B2">
    <cfRule type="containsText" dxfId="59" priority="1" stopIfTrue="1" operator="containsText" text="#VALORE!">
      <formula>NOT(ISERROR(SEARCH("#VALORE!",B2)))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A30" sqref="A30"/>
    </sheetView>
  </sheetViews>
  <sheetFormatPr defaultRowHeight="12.75" x14ac:dyDescent="0.2"/>
  <cols>
    <col min="1" max="1" width="26.28515625" bestFit="1" customWidth="1"/>
    <col min="2" max="2" width="9" bestFit="1" customWidth="1"/>
    <col min="3" max="3" width="12.42578125" bestFit="1" customWidth="1"/>
    <col min="4" max="4" width="10.42578125" bestFit="1" customWidth="1"/>
    <col min="5" max="5" width="9.28515625" bestFit="1" customWidth="1"/>
    <col min="6" max="6" width="5.710937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7109375" bestFit="1" customWidth="1"/>
    <col min="11" max="11" width="6.7109375" bestFit="1" customWidth="1"/>
    <col min="12" max="12" width="4.28515625" bestFit="1" customWidth="1"/>
    <col min="13" max="13" width="7.5703125" bestFit="1" customWidth="1"/>
    <col min="14" max="14" width="5.710937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IF(D51="",D52,D51+D52)</f>
        <v>590.80435287671219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 t="s">
        <v>289</v>
      </c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/>
      <c r="B4" s="2"/>
      <c r="C4" s="3"/>
      <c r="D4" s="3"/>
      <c r="E4" s="38">
        <v>39387</v>
      </c>
      <c r="F4" s="9">
        <v>0.77083333333333337</v>
      </c>
      <c r="G4" s="8">
        <v>19346</v>
      </c>
      <c r="H4" s="76">
        <f>IF(G4-B16&lt;0,0,0)</f>
        <v>0</v>
      </c>
      <c r="I4" s="46">
        <v>38687</v>
      </c>
      <c r="J4" s="11">
        <v>0.77083333333333337</v>
      </c>
      <c r="K4" s="10">
        <v>19367</v>
      </c>
      <c r="L4" s="30">
        <f>IF(AND(H35&lt;&gt;"",K4&lt;&gt;""),K4-K3,K4-MAX(G4:G35))</f>
        <v>3</v>
      </c>
      <c r="M4" s="43">
        <v>38353</v>
      </c>
      <c r="N4" s="13" t="s">
        <v>33</v>
      </c>
      <c r="O4" s="12">
        <v>19434</v>
      </c>
      <c r="P4" s="23">
        <f>IF(AND(L35&lt;&gt;"",O4&lt;&gt;""),O4-O3,O4-MAX(K4:K34))</f>
        <v>0</v>
      </c>
    </row>
    <row r="5" spans="1:16" x14ac:dyDescent="0.2">
      <c r="A5" s="1" t="s">
        <v>340</v>
      </c>
      <c r="B5" s="26">
        <v>0</v>
      </c>
      <c r="C5" s="131" t="s">
        <v>341</v>
      </c>
      <c r="D5" s="132"/>
      <c r="E5" s="38">
        <f>E4+1</f>
        <v>39388</v>
      </c>
      <c r="F5" s="9">
        <v>0.77083333333333337</v>
      </c>
      <c r="G5" s="8">
        <v>19346</v>
      </c>
      <c r="H5" s="75">
        <f t="shared" ref="H5:H35" si="0">IF(AND(H4&lt;&gt;"",G5&lt;&gt;""),G5-G4,"")</f>
        <v>0</v>
      </c>
      <c r="I5" s="41">
        <f>I4+1</f>
        <v>38688</v>
      </c>
      <c r="J5" s="11">
        <v>0.77083333333333337</v>
      </c>
      <c r="K5" s="10">
        <v>19368</v>
      </c>
      <c r="L5" s="30">
        <f>IF(AND(L4&lt;&gt;"",K5&lt;&gt;""),K5-K4,"")</f>
        <v>1</v>
      </c>
      <c r="M5" s="43">
        <f>M4+1</f>
        <v>38354</v>
      </c>
      <c r="N5" s="13" t="s">
        <v>290</v>
      </c>
      <c r="O5" s="12">
        <v>19438</v>
      </c>
      <c r="P5" s="23">
        <f>IF(AND(P4&lt;&gt;"",O5&lt;&gt;""),O5-O4,"")</f>
        <v>4</v>
      </c>
    </row>
    <row r="6" spans="1:16" x14ac:dyDescent="0.2">
      <c r="A6" s="1" t="s">
        <v>342</v>
      </c>
      <c r="B6" s="26">
        <v>0</v>
      </c>
      <c r="C6" s="131" t="s">
        <v>343</v>
      </c>
      <c r="D6" s="132"/>
      <c r="E6" s="38">
        <f t="shared" ref="E6:E33" si="1">E5+1</f>
        <v>39389</v>
      </c>
      <c r="F6" s="9">
        <v>0.77083333333333337</v>
      </c>
      <c r="G6" s="8">
        <v>19346</v>
      </c>
      <c r="H6" s="75">
        <f t="shared" si="0"/>
        <v>0</v>
      </c>
      <c r="I6" s="41">
        <f t="shared" ref="I6:I29" si="2">I5+1</f>
        <v>38689</v>
      </c>
      <c r="J6" s="11" t="s">
        <v>25</v>
      </c>
      <c r="K6" s="10">
        <v>19368</v>
      </c>
      <c r="L6" s="30">
        <f>IF(AND(L5&lt;&gt;"",K6&lt;&gt;""),K6-K5,"")</f>
        <v>0</v>
      </c>
      <c r="M6" s="43">
        <f t="shared" ref="M6:M29" si="3">M5+1</f>
        <v>38355</v>
      </c>
      <c r="N6" s="13" t="s">
        <v>290</v>
      </c>
      <c r="O6" s="12">
        <v>19442</v>
      </c>
      <c r="P6" s="23">
        <f t="shared" ref="P6:P35" si="4">IF(AND(P5&lt;&gt;"",O6&lt;&gt;""),O6-O5,"")</f>
        <v>4</v>
      </c>
    </row>
    <row r="7" spans="1:16" x14ac:dyDescent="0.2">
      <c r="A7" s="1" t="s">
        <v>344</v>
      </c>
      <c r="B7" s="26">
        <v>59.65</v>
      </c>
      <c r="C7" s="131"/>
      <c r="D7" s="132"/>
      <c r="E7" s="38">
        <f t="shared" si="1"/>
        <v>39390</v>
      </c>
      <c r="F7" s="9">
        <v>0.77083333333333337</v>
      </c>
      <c r="G7" s="8">
        <v>19346</v>
      </c>
      <c r="H7" s="75">
        <f t="shared" si="0"/>
        <v>0</v>
      </c>
      <c r="I7" s="41">
        <f t="shared" si="2"/>
        <v>38690</v>
      </c>
      <c r="J7" s="11" t="s">
        <v>26</v>
      </c>
      <c r="K7" s="10">
        <v>19368</v>
      </c>
      <c r="L7" s="30">
        <f>IF(AND(L6&lt;&gt;"",K7&lt;&gt;""),K7-K6,"")</f>
        <v>0</v>
      </c>
      <c r="M7" s="43">
        <f t="shared" si="3"/>
        <v>38356</v>
      </c>
      <c r="N7" s="13">
        <v>0.77083333333333337</v>
      </c>
      <c r="O7" s="12">
        <v>19446</v>
      </c>
      <c r="P7" s="23">
        <f t="shared" si="4"/>
        <v>4</v>
      </c>
    </row>
    <row r="8" spans="1:16" x14ac:dyDescent="0.2">
      <c r="A8" s="1" t="s">
        <v>345</v>
      </c>
      <c r="B8" s="26">
        <v>42.8</v>
      </c>
      <c r="C8" s="133" t="s">
        <v>284</v>
      </c>
      <c r="D8" s="133"/>
      <c r="E8" s="38">
        <f t="shared" si="1"/>
        <v>39391</v>
      </c>
      <c r="F8" s="9" t="s">
        <v>25</v>
      </c>
      <c r="G8" s="8">
        <v>19346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19370</v>
      </c>
      <c r="L8" s="30">
        <f>IF(AND(L7&lt;&gt;"",K8&lt;&gt;""),K8-K7,"")</f>
        <v>2</v>
      </c>
      <c r="M8" s="43">
        <f t="shared" si="3"/>
        <v>38357</v>
      </c>
      <c r="N8" s="13">
        <v>0.77083333333333337</v>
      </c>
      <c r="O8" s="12">
        <v>19449</v>
      </c>
      <c r="P8" s="23">
        <f t="shared" si="4"/>
        <v>3</v>
      </c>
    </row>
    <row r="9" spans="1:16" x14ac:dyDescent="0.2">
      <c r="A9" s="1" t="s">
        <v>346</v>
      </c>
      <c r="B9" s="26">
        <v>75.739999999999995</v>
      </c>
      <c r="C9" s="128" t="s">
        <v>287</v>
      </c>
      <c r="D9" s="128"/>
      <c r="E9" s="38">
        <f t="shared" si="1"/>
        <v>39392</v>
      </c>
      <c r="F9" s="9" t="s">
        <v>26</v>
      </c>
      <c r="G9" s="8">
        <v>19346</v>
      </c>
      <c r="H9" s="75">
        <f t="shared" si="0"/>
        <v>0</v>
      </c>
      <c r="I9" s="41">
        <f t="shared" si="2"/>
        <v>38692</v>
      </c>
      <c r="J9" s="11" t="s">
        <v>290</v>
      </c>
      <c r="K9" s="10">
        <v>19372</v>
      </c>
      <c r="L9" s="30">
        <f>IF(AND(L8&lt;&gt;"",K9&lt;&gt;""),K9-K8,"")</f>
        <v>2</v>
      </c>
      <c r="M9" s="43">
        <f t="shared" si="3"/>
        <v>38358</v>
      </c>
      <c r="N9" s="13" t="s">
        <v>83</v>
      </c>
      <c r="O9" s="12">
        <v>19449</v>
      </c>
      <c r="P9" s="23">
        <f t="shared" si="4"/>
        <v>0</v>
      </c>
    </row>
    <row r="10" spans="1:16" x14ac:dyDescent="0.2">
      <c r="A10" s="63" t="s">
        <v>328</v>
      </c>
      <c r="B10" s="64">
        <f>SUM(B5:B9)</f>
        <v>178.19</v>
      </c>
      <c r="C10" s="3"/>
      <c r="D10" s="3"/>
      <c r="E10" s="38">
        <f t="shared" si="1"/>
        <v>39393</v>
      </c>
      <c r="F10" s="9">
        <v>0.77083333333333337</v>
      </c>
      <c r="G10" s="8">
        <v>19346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19374</v>
      </c>
      <c r="L10" s="30">
        <f t="shared" ref="L10:L35" si="5">IF(AND(L9&lt;&gt;"",K10&lt;&gt;""),K10-K9,"")</f>
        <v>2</v>
      </c>
      <c r="M10" s="43">
        <f t="shared" si="3"/>
        <v>38359</v>
      </c>
      <c r="N10" s="13" t="s">
        <v>25</v>
      </c>
      <c r="O10" s="12">
        <v>19449</v>
      </c>
      <c r="P10" s="23">
        <f t="shared" si="4"/>
        <v>0</v>
      </c>
    </row>
    <row r="11" spans="1:16" x14ac:dyDescent="0.2">
      <c r="E11" s="38">
        <f t="shared" si="1"/>
        <v>39394</v>
      </c>
      <c r="F11" s="9">
        <v>0.77083333333333337</v>
      </c>
      <c r="G11" s="8">
        <v>19346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19374</v>
      </c>
      <c r="L11" s="30">
        <f t="shared" si="5"/>
        <v>0</v>
      </c>
      <c r="M11" s="43">
        <f t="shared" si="3"/>
        <v>38360</v>
      </c>
      <c r="N11" s="13" t="s">
        <v>26</v>
      </c>
      <c r="O11" s="12">
        <v>19449</v>
      </c>
      <c r="P11" s="23">
        <f t="shared" si="4"/>
        <v>0</v>
      </c>
    </row>
    <row r="12" spans="1:16" x14ac:dyDescent="0.2">
      <c r="A12" s="1" t="s">
        <v>329</v>
      </c>
      <c r="B12" s="27">
        <f>(MAX(G3:G33,K4:K34,O4:O34,G38:G65,K38:K68,O38:O67)-MIN(G4,G35))</f>
        <v>262</v>
      </c>
      <c r="C12" s="3"/>
      <c r="D12" s="3"/>
      <c r="E12" s="38">
        <f t="shared" si="1"/>
        <v>39395</v>
      </c>
      <c r="F12" s="9">
        <v>0.77083333333333337</v>
      </c>
      <c r="G12" s="8">
        <v>19346</v>
      </c>
      <c r="H12" s="75">
        <f t="shared" si="0"/>
        <v>0</v>
      </c>
      <c r="I12" s="41">
        <f t="shared" si="2"/>
        <v>38695</v>
      </c>
      <c r="J12" s="11">
        <v>0.77083333333333337</v>
      </c>
      <c r="K12" s="10">
        <v>19377</v>
      </c>
      <c r="L12" s="30">
        <f t="shared" si="5"/>
        <v>3</v>
      </c>
      <c r="M12" s="43">
        <f t="shared" si="3"/>
        <v>38361</v>
      </c>
      <c r="N12" s="13">
        <v>0.77083333333333337</v>
      </c>
      <c r="O12" s="12">
        <v>19454</v>
      </c>
      <c r="P12" s="23">
        <f t="shared" si="4"/>
        <v>5</v>
      </c>
    </row>
    <row r="13" spans="1:16" x14ac:dyDescent="0.2">
      <c r="A13" s="1" t="s">
        <v>317</v>
      </c>
      <c r="B13" s="2">
        <f>(MAX(G4:G33,K4:K34)-'1516'!O4)*B68</f>
        <v>324.77944200000002</v>
      </c>
      <c r="C13" s="118"/>
      <c r="D13" s="119"/>
      <c r="E13" s="38">
        <f t="shared" si="1"/>
        <v>39396</v>
      </c>
      <c r="F13" s="9">
        <v>0.77083333333333337</v>
      </c>
      <c r="G13" s="8">
        <v>19346</v>
      </c>
      <c r="H13" s="75">
        <f t="shared" si="0"/>
        <v>0</v>
      </c>
      <c r="I13" s="41">
        <f t="shared" si="2"/>
        <v>38696</v>
      </c>
      <c r="J13" s="11" t="s">
        <v>25</v>
      </c>
      <c r="K13" s="10">
        <v>19377</v>
      </c>
      <c r="L13" s="30">
        <f t="shared" si="5"/>
        <v>0</v>
      </c>
      <c r="M13" s="43">
        <f t="shared" si="3"/>
        <v>38362</v>
      </c>
      <c r="N13" s="13">
        <v>0.77083333333333337</v>
      </c>
      <c r="O13" s="12">
        <v>19460</v>
      </c>
      <c r="P13" s="23">
        <f>IF(AND(P12&lt;&gt;"",O13&lt;&gt;""),O13-O12,"")</f>
        <v>6</v>
      </c>
    </row>
    <row r="14" spans="1:16" x14ac:dyDescent="0.2">
      <c r="A14" s="1" t="s">
        <v>331</v>
      </c>
      <c r="B14" s="2">
        <f>IF(O4="",0,((MAX(O4:O34,G38:G68,K38:K68,O38:O68))-O4)*B68)</f>
        <v>177.709506</v>
      </c>
      <c r="C14" s="3"/>
      <c r="D14" s="3"/>
      <c r="E14" s="38">
        <f t="shared" si="1"/>
        <v>39397</v>
      </c>
      <c r="F14" s="9">
        <v>0.77083333333333337</v>
      </c>
      <c r="G14" s="8">
        <v>19349</v>
      </c>
      <c r="H14" s="75">
        <f t="shared" si="0"/>
        <v>3</v>
      </c>
      <c r="I14" s="41">
        <f t="shared" si="2"/>
        <v>38697</v>
      </c>
      <c r="J14" s="11" t="s">
        <v>26</v>
      </c>
      <c r="K14" s="10">
        <v>19377</v>
      </c>
      <c r="L14" s="30">
        <f t="shared" si="5"/>
        <v>0</v>
      </c>
      <c r="M14" s="43">
        <f t="shared" si="3"/>
        <v>38363</v>
      </c>
      <c r="N14" s="13">
        <v>0.77083333333333337</v>
      </c>
      <c r="O14" s="12">
        <v>19467</v>
      </c>
      <c r="P14" s="23">
        <f t="shared" si="4"/>
        <v>7</v>
      </c>
    </row>
    <row r="15" spans="1:16" ht="13.5" thickBot="1" x14ac:dyDescent="0.25">
      <c r="C15" s="3"/>
      <c r="D15" s="3"/>
      <c r="E15" s="38">
        <f t="shared" si="1"/>
        <v>39398</v>
      </c>
      <c r="F15" s="9" t="s">
        <v>25</v>
      </c>
      <c r="G15" s="8">
        <v>19349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19381</v>
      </c>
      <c r="L15" s="30">
        <f t="shared" si="5"/>
        <v>4</v>
      </c>
      <c r="M15" s="43">
        <f t="shared" si="3"/>
        <v>38364</v>
      </c>
      <c r="N15" s="13">
        <v>0.77083333333333337</v>
      </c>
      <c r="O15" s="12">
        <v>19473</v>
      </c>
      <c r="P15" s="23">
        <f t="shared" si="4"/>
        <v>6</v>
      </c>
    </row>
    <row r="16" spans="1:16" ht="14.25" thickTop="1" thickBot="1" x14ac:dyDescent="0.25">
      <c r="A16" s="1" t="s">
        <v>58</v>
      </c>
      <c r="B16" s="2">
        <v>19608</v>
      </c>
      <c r="C16" s="106" t="s">
        <v>287</v>
      </c>
      <c r="D16" s="105">
        <v>42852</v>
      </c>
      <c r="E16" s="38">
        <f t="shared" si="1"/>
        <v>39399</v>
      </c>
      <c r="F16" s="9" t="s">
        <v>26</v>
      </c>
      <c r="G16" s="8">
        <v>19349</v>
      </c>
      <c r="H16" s="75">
        <f t="shared" si="0"/>
        <v>0</v>
      </c>
      <c r="I16" s="41">
        <f t="shared" si="2"/>
        <v>38699</v>
      </c>
      <c r="J16" s="11">
        <v>0.77083333333333337</v>
      </c>
      <c r="K16" s="10">
        <v>19385</v>
      </c>
      <c r="L16" s="30">
        <f t="shared" si="5"/>
        <v>4</v>
      </c>
      <c r="M16" s="43">
        <f t="shared" si="3"/>
        <v>38365</v>
      </c>
      <c r="N16" s="13">
        <v>0.77083333333333337</v>
      </c>
      <c r="O16" s="12">
        <v>19480</v>
      </c>
      <c r="P16" s="23">
        <f t="shared" si="4"/>
        <v>7</v>
      </c>
    </row>
    <row r="17" spans="1:16" ht="13.5" thickTop="1" x14ac:dyDescent="0.2">
      <c r="A17" s="1" t="s">
        <v>308</v>
      </c>
      <c r="B17" s="2">
        <f>(B16-('1516'!O4))*B68</f>
        <v>502.48894800000005</v>
      </c>
      <c r="C17" s="118"/>
      <c r="D17" s="118"/>
      <c r="E17" s="38">
        <f t="shared" si="1"/>
        <v>39400</v>
      </c>
      <c r="F17" s="9">
        <v>0.77083333333333337</v>
      </c>
      <c r="G17" s="8">
        <v>19349</v>
      </c>
      <c r="H17" s="75">
        <f t="shared" si="0"/>
        <v>0</v>
      </c>
      <c r="I17" s="41">
        <f t="shared" si="2"/>
        <v>38700</v>
      </c>
      <c r="J17" s="11">
        <v>0.77083333333333337</v>
      </c>
      <c r="K17" s="10">
        <v>19388</v>
      </c>
      <c r="L17" s="30">
        <f t="shared" si="5"/>
        <v>3</v>
      </c>
      <c r="M17" s="43">
        <f t="shared" si="3"/>
        <v>38366</v>
      </c>
      <c r="N17" s="13" t="s">
        <v>25</v>
      </c>
      <c r="O17" s="12">
        <v>19480</v>
      </c>
      <c r="P17" s="23">
        <f t="shared" si="4"/>
        <v>0</v>
      </c>
    </row>
    <row r="18" spans="1:16" x14ac:dyDescent="0.2">
      <c r="A18" s="1" t="s">
        <v>330</v>
      </c>
      <c r="B18" s="2">
        <f>IF(OR(O4&gt;B16,O4=""),0,B16-K34)</f>
        <v>174</v>
      </c>
      <c r="C18" s="3"/>
      <c r="D18" s="3"/>
      <c r="E18" s="38">
        <f t="shared" si="1"/>
        <v>39401</v>
      </c>
      <c r="F18" s="9">
        <v>0.77083333333333337</v>
      </c>
      <c r="G18" s="8">
        <v>19352</v>
      </c>
      <c r="H18" s="75">
        <f t="shared" si="0"/>
        <v>3</v>
      </c>
      <c r="I18" s="41">
        <f t="shared" si="2"/>
        <v>38701</v>
      </c>
      <c r="J18" s="11">
        <v>0.77083333333333337</v>
      </c>
      <c r="K18" s="10">
        <v>19392</v>
      </c>
      <c r="L18" s="30">
        <f t="shared" si="5"/>
        <v>4</v>
      </c>
      <c r="M18" s="43">
        <f t="shared" si="3"/>
        <v>38367</v>
      </c>
      <c r="N18" s="13" t="s">
        <v>26</v>
      </c>
      <c r="O18" s="12">
        <v>19480</v>
      </c>
      <c r="P18" s="23">
        <f t="shared" si="4"/>
        <v>0</v>
      </c>
    </row>
    <row r="19" spans="1:16" x14ac:dyDescent="0.2">
      <c r="E19" s="38">
        <f t="shared" si="1"/>
        <v>39402</v>
      </c>
      <c r="F19" s="9">
        <v>0.77083333333333337</v>
      </c>
      <c r="G19" s="8">
        <v>19354</v>
      </c>
      <c r="H19" s="75">
        <f t="shared" si="0"/>
        <v>2</v>
      </c>
      <c r="I19" s="41">
        <f t="shared" si="2"/>
        <v>38702</v>
      </c>
      <c r="J19" s="11">
        <v>0.77083333333333337</v>
      </c>
      <c r="K19" s="10">
        <v>19398</v>
      </c>
      <c r="L19" s="30">
        <f t="shared" si="5"/>
        <v>6</v>
      </c>
      <c r="M19" s="43">
        <f t="shared" si="3"/>
        <v>38368</v>
      </c>
      <c r="N19" s="13">
        <v>0.77083333333333337</v>
      </c>
      <c r="O19" s="12">
        <v>19487</v>
      </c>
      <c r="P19" s="23">
        <f t="shared" si="4"/>
        <v>7</v>
      </c>
    </row>
    <row r="20" spans="1:16" x14ac:dyDescent="0.2">
      <c r="A20" s="1" t="s">
        <v>333</v>
      </c>
      <c r="B20" s="2">
        <f>IF(AND(B13&gt;480,B17&lt;480),480-B17,0)</f>
        <v>0</v>
      </c>
      <c r="C20" s="3"/>
      <c r="D20" s="3"/>
      <c r="E20" s="38">
        <f t="shared" si="1"/>
        <v>39403</v>
      </c>
      <c r="F20" s="9">
        <v>0.77083333333333337</v>
      </c>
      <c r="G20" s="8">
        <v>19356</v>
      </c>
      <c r="H20" s="75">
        <f t="shared" si="0"/>
        <v>2</v>
      </c>
      <c r="I20" s="41">
        <f t="shared" si="2"/>
        <v>38703</v>
      </c>
      <c r="J20" s="11" t="s">
        <v>25</v>
      </c>
      <c r="K20" s="10">
        <v>19398</v>
      </c>
      <c r="L20" s="30">
        <f t="shared" si="5"/>
        <v>0</v>
      </c>
      <c r="M20" s="43">
        <f t="shared" si="3"/>
        <v>38369</v>
      </c>
      <c r="N20" s="13">
        <v>0.77083333333333337</v>
      </c>
      <c r="O20" s="12">
        <v>19491</v>
      </c>
      <c r="P20" s="23">
        <f t="shared" si="4"/>
        <v>4</v>
      </c>
    </row>
    <row r="21" spans="1:16" x14ac:dyDescent="0.2">
      <c r="A21" s="1" t="s">
        <v>334</v>
      </c>
      <c r="B21" s="2">
        <f>IF(AND(B14&gt;0,B18=0),(K34-B16-B20)*B68,120)</f>
        <v>120</v>
      </c>
      <c r="C21" s="3"/>
      <c r="D21" s="3"/>
      <c r="E21" s="38">
        <f t="shared" si="1"/>
        <v>39404</v>
      </c>
      <c r="F21" s="9">
        <v>0.77083333333333337</v>
      </c>
      <c r="G21" s="8">
        <v>19357</v>
      </c>
      <c r="H21" s="75">
        <f t="shared" si="0"/>
        <v>1</v>
      </c>
      <c r="I21" s="41">
        <f t="shared" si="2"/>
        <v>38704</v>
      </c>
      <c r="J21" s="11" t="s">
        <v>26</v>
      </c>
      <c r="K21" s="10">
        <v>19398</v>
      </c>
      <c r="L21" s="30">
        <f t="shared" si="5"/>
        <v>0</v>
      </c>
      <c r="M21" s="43">
        <f t="shared" si="3"/>
        <v>38370</v>
      </c>
      <c r="N21" s="13">
        <v>0.77083333333333337</v>
      </c>
      <c r="O21" s="12">
        <v>19495</v>
      </c>
      <c r="P21" s="23">
        <f t="shared" si="4"/>
        <v>4</v>
      </c>
    </row>
    <row r="22" spans="1:16" x14ac:dyDescent="0.2">
      <c r="A22" s="1" t="s">
        <v>335</v>
      </c>
      <c r="B22" s="104"/>
      <c r="C22" s="104"/>
      <c r="E22" s="38">
        <f t="shared" si="1"/>
        <v>39405</v>
      </c>
      <c r="F22" s="9" t="s">
        <v>25</v>
      </c>
      <c r="G22" s="8">
        <v>19357</v>
      </c>
      <c r="H22" s="75">
        <f t="shared" si="0"/>
        <v>0</v>
      </c>
      <c r="I22" s="41">
        <f t="shared" si="2"/>
        <v>38705</v>
      </c>
      <c r="J22" s="11">
        <v>0.77083333333333337</v>
      </c>
      <c r="K22" s="10">
        <v>19405</v>
      </c>
      <c r="L22" s="30">
        <f t="shared" si="5"/>
        <v>7</v>
      </c>
      <c r="M22" s="43">
        <f t="shared" si="3"/>
        <v>38371</v>
      </c>
      <c r="N22" s="13">
        <v>0.77083333333333337</v>
      </c>
      <c r="O22" s="12">
        <v>19499</v>
      </c>
      <c r="P22" s="23">
        <f t="shared" si="4"/>
        <v>4</v>
      </c>
    </row>
    <row r="23" spans="1:16" x14ac:dyDescent="0.2">
      <c r="A23" s="1" t="s">
        <v>336</v>
      </c>
      <c r="B23" s="104">
        <f>IF(B14=0,0,B14-120)</f>
        <v>57.709506000000005</v>
      </c>
      <c r="E23" s="38">
        <f t="shared" si="1"/>
        <v>39406</v>
      </c>
      <c r="F23" s="9" t="s">
        <v>26</v>
      </c>
      <c r="G23" s="8">
        <v>19357</v>
      </c>
      <c r="H23" s="75">
        <f t="shared" si="0"/>
        <v>0</v>
      </c>
      <c r="I23" s="41">
        <f t="shared" si="2"/>
        <v>38706</v>
      </c>
      <c r="J23" s="11">
        <v>0.77083333333333337</v>
      </c>
      <c r="K23" s="10">
        <v>19409</v>
      </c>
      <c r="L23" s="30">
        <f t="shared" si="5"/>
        <v>4</v>
      </c>
      <c r="M23" s="43">
        <f t="shared" si="3"/>
        <v>38372</v>
      </c>
      <c r="N23" s="13">
        <v>0.77083333333333337</v>
      </c>
      <c r="O23" s="12">
        <v>19503</v>
      </c>
      <c r="P23" s="23">
        <f t="shared" si="4"/>
        <v>4</v>
      </c>
    </row>
    <row r="24" spans="1:16" x14ac:dyDescent="0.2">
      <c r="A24" s="1" t="s">
        <v>337</v>
      </c>
      <c r="B24" s="104"/>
      <c r="E24" s="38">
        <f t="shared" si="1"/>
        <v>39407</v>
      </c>
      <c r="F24" s="9">
        <v>0.77083333333333337</v>
      </c>
      <c r="G24" s="8">
        <v>19359</v>
      </c>
      <c r="H24" s="75">
        <f t="shared" si="0"/>
        <v>2</v>
      </c>
      <c r="I24" s="41">
        <f t="shared" si="2"/>
        <v>38707</v>
      </c>
      <c r="J24" s="11">
        <v>0.77083333333333337</v>
      </c>
      <c r="K24" s="10">
        <v>19412</v>
      </c>
      <c r="L24" s="30">
        <f t="shared" si="5"/>
        <v>3</v>
      </c>
      <c r="M24" s="43">
        <f t="shared" si="3"/>
        <v>38373</v>
      </c>
      <c r="N24" s="13" t="s">
        <v>25</v>
      </c>
      <c r="O24" s="12">
        <v>19503</v>
      </c>
      <c r="P24" s="23">
        <f t="shared" si="4"/>
        <v>0</v>
      </c>
    </row>
    <row r="25" spans="1:16" x14ac:dyDescent="0.2">
      <c r="E25" s="38">
        <f t="shared" si="1"/>
        <v>39408</v>
      </c>
      <c r="F25" s="9">
        <v>0.77083333333333337</v>
      </c>
      <c r="G25" s="8">
        <v>19360</v>
      </c>
      <c r="H25" s="75">
        <f t="shared" si="0"/>
        <v>1</v>
      </c>
      <c r="I25" s="41">
        <f t="shared" si="2"/>
        <v>38708</v>
      </c>
      <c r="J25" s="11">
        <v>0.77083333333333337</v>
      </c>
      <c r="K25" s="10">
        <v>19416</v>
      </c>
      <c r="L25" s="30">
        <f t="shared" si="5"/>
        <v>4</v>
      </c>
      <c r="M25" s="43">
        <f t="shared" si="3"/>
        <v>38374</v>
      </c>
      <c r="N25" s="13" t="s">
        <v>26</v>
      </c>
      <c r="O25" s="12">
        <v>19503</v>
      </c>
      <c r="P25" s="23">
        <f t="shared" si="4"/>
        <v>0</v>
      </c>
    </row>
    <row r="26" spans="1:16" x14ac:dyDescent="0.2">
      <c r="A26" s="1" t="s">
        <v>338</v>
      </c>
      <c r="B26" s="66" t="s">
        <v>8</v>
      </c>
      <c r="C26" s="67" t="s">
        <v>5</v>
      </c>
      <c r="D26" s="67" t="s">
        <v>6</v>
      </c>
      <c r="E26" s="38">
        <f t="shared" si="1"/>
        <v>39409</v>
      </c>
      <c r="F26" s="9">
        <v>0.77083333333333337</v>
      </c>
      <c r="G26" s="8">
        <v>19361</v>
      </c>
      <c r="H26" s="75">
        <f t="shared" si="0"/>
        <v>1</v>
      </c>
      <c r="I26" s="41">
        <f t="shared" si="2"/>
        <v>38709</v>
      </c>
      <c r="J26" s="11" t="s">
        <v>290</v>
      </c>
      <c r="K26" s="10">
        <v>19419</v>
      </c>
      <c r="L26" s="30">
        <f t="shared" si="5"/>
        <v>3</v>
      </c>
      <c r="M26" s="43">
        <f t="shared" si="3"/>
        <v>38375</v>
      </c>
      <c r="N26" s="13">
        <v>0.77083333333333337</v>
      </c>
      <c r="O26" s="12">
        <v>19509</v>
      </c>
      <c r="P26" s="23">
        <f t="shared" si="4"/>
        <v>6</v>
      </c>
    </row>
    <row r="27" spans="1:16" x14ac:dyDescent="0.2">
      <c r="A27" s="5"/>
      <c r="B27" s="2"/>
      <c r="C27" s="3"/>
      <c r="D27" s="3"/>
      <c r="E27" s="38">
        <f t="shared" si="1"/>
        <v>39410</v>
      </c>
      <c r="F27" s="9">
        <v>0.77083333333333337</v>
      </c>
      <c r="G27" s="8">
        <v>19361</v>
      </c>
      <c r="H27" s="75">
        <f t="shared" si="0"/>
        <v>0</v>
      </c>
      <c r="I27" s="41">
        <f t="shared" si="2"/>
        <v>38710</v>
      </c>
      <c r="J27" s="51" t="s">
        <v>25</v>
      </c>
      <c r="K27" s="10">
        <v>19419</v>
      </c>
      <c r="L27" s="30">
        <f t="shared" si="5"/>
        <v>0</v>
      </c>
      <c r="M27" s="43">
        <f t="shared" si="3"/>
        <v>38376</v>
      </c>
      <c r="N27" s="13">
        <v>0.77083333333333337</v>
      </c>
      <c r="O27" s="12">
        <v>19513</v>
      </c>
      <c r="P27" s="23">
        <f t="shared" si="4"/>
        <v>4</v>
      </c>
    </row>
    <row r="28" spans="1:16" x14ac:dyDescent="0.2">
      <c r="A28" s="1" t="s">
        <v>0</v>
      </c>
      <c r="B28" s="2">
        <f ca="1">SUM(TODAY()-D16)</f>
        <v>2168</v>
      </c>
      <c r="C28" s="3"/>
      <c r="D28" s="3"/>
      <c r="E28" s="38">
        <f t="shared" si="1"/>
        <v>39411</v>
      </c>
      <c r="F28" s="9">
        <v>0.77083333333333337</v>
      </c>
      <c r="G28" s="8">
        <v>19361</v>
      </c>
      <c r="H28" s="75">
        <f t="shared" si="0"/>
        <v>0</v>
      </c>
      <c r="I28" s="46">
        <f t="shared" si="2"/>
        <v>38711</v>
      </c>
      <c r="J28" s="11" t="s">
        <v>26</v>
      </c>
      <c r="K28" s="10">
        <v>19419</v>
      </c>
      <c r="L28" s="30">
        <f t="shared" si="5"/>
        <v>0</v>
      </c>
      <c r="M28" s="43">
        <f t="shared" si="3"/>
        <v>38377</v>
      </c>
      <c r="N28" s="13">
        <v>0.77083333333333337</v>
      </c>
      <c r="O28" s="12">
        <v>19519</v>
      </c>
      <c r="P28" s="23">
        <f t="shared" si="4"/>
        <v>6</v>
      </c>
    </row>
    <row r="29" spans="1:16" x14ac:dyDescent="0.2">
      <c r="A29" s="1" t="s">
        <v>85</v>
      </c>
      <c r="B29" s="2">
        <f>(MAX(G4:G33, K4:K34,O4:O34, G38:G71, K38:K73, O38:O72)-B16)*B68</f>
        <v>0</v>
      </c>
      <c r="C29" s="3"/>
      <c r="D29" s="3"/>
      <c r="E29" s="38">
        <f t="shared" si="1"/>
        <v>39412</v>
      </c>
      <c r="F29" s="9" t="s">
        <v>25</v>
      </c>
      <c r="G29" s="8">
        <v>19361</v>
      </c>
      <c r="H29" s="75">
        <f t="shared" si="0"/>
        <v>0</v>
      </c>
      <c r="I29" s="41">
        <f t="shared" si="2"/>
        <v>38712</v>
      </c>
      <c r="J29" s="11" t="s">
        <v>332</v>
      </c>
      <c r="K29" s="10">
        <v>19419</v>
      </c>
      <c r="L29" s="30">
        <f t="shared" si="5"/>
        <v>0</v>
      </c>
      <c r="M29" s="43">
        <f t="shared" si="3"/>
        <v>38378</v>
      </c>
      <c r="N29" s="13">
        <v>0.77083333333333337</v>
      </c>
      <c r="O29" s="12">
        <v>19522</v>
      </c>
      <c r="P29" s="23">
        <f t="shared" si="4"/>
        <v>3</v>
      </c>
    </row>
    <row r="30" spans="1:16" x14ac:dyDescent="0.2">
      <c r="A30" s="1" t="s">
        <v>295</v>
      </c>
      <c r="B30" s="2">
        <f>IF((B14&gt;120),0,B29)</f>
        <v>0</v>
      </c>
      <c r="C30" s="3">
        <f>B54</f>
        <v>0.27385999999999999</v>
      </c>
      <c r="D30" s="3">
        <f>(B30*C30)</f>
        <v>0</v>
      </c>
      <c r="E30" s="38">
        <f t="shared" si="1"/>
        <v>39413</v>
      </c>
      <c r="F30" s="9" t="s">
        <v>26</v>
      </c>
      <c r="G30" s="8">
        <v>19361</v>
      </c>
      <c r="H30" s="75">
        <f t="shared" si="0"/>
        <v>0</v>
      </c>
      <c r="I30" s="41">
        <f>I29+1</f>
        <v>38713</v>
      </c>
      <c r="J30" s="11">
        <v>0.77083333333333337</v>
      </c>
      <c r="K30" s="10">
        <v>19424</v>
      </c>
      <c r="L30" s="30">
        <f t="shared" si="5"/>
        <v>5</v>
      </c>
      <c r="M30" s="43">
        <f>M29+1</f>
        <v>38379</v>
      </c>
      <c r="N30" s="13">
        <v>0.77083333333333337</v>
      </c>
      <c r="O30" s="12">
        <v>19526</v>
      </c>
      <c r="P30" s="23">
        <f t="shared" si="4"/>
        <v>4</v>
      </c>
    </row>
    <row r="31" spans="1:16" x14ac:dyDescent="0.2">
      <c r="A31" s="1" t="s">
        <v>296</v>
      </c>
      <c r="B31" s="121">
        <f>IF(AND(B14&gt;120,B13&lt;480),(B29),0)</f>
        <v>0</v>
      </c>
      <c r="C31" s="3">
        <f>B55</f>
        <v>0.27385999999999999</v>
      </c>
      <c r="D31" s="3">
        <f>(B31*C31)</f>
        <v>0</v>
      </c>
      <c r="E31" s="38">
        <f t="shared" si="1"/>
        <v>39414</v>
      </c>
      <c r="F31" s="9" t="s">
        <v>290</v>
      </c>
      <c r="G31" s="8">
        <v>19361</v>
      </c>
      <c r="H31" s="75">
        <f t="shared" si="0"/>
        <v>0</v>
      </c>
      <c r="I31" s="41">
        <f>I30+1</f>
        <v>38714</v>
      </c>
      <c r="J31" s="11">
        <v>0.77083333333333337</v>
      </c>
      <c r="K31" s="10">
        <v>19427</v>
      </c>
      <c r="L31" s="30">
        <f t="shared" si="5"/>
        <v>3</v>
      </c>
      <c r="M31" s="43">
        <f>M30+1</f>
        <v>38380</v>
      </c>
      <c r="N31" s="13" t="s">
        <v>25</v>
      </c>
      <c r="O31" s="12">
        <v>19526</v>
      </c>
      <c r="P31" s="23">
        <f t="shared" si="4"/>
        <v>0</v>
      </c>
    </row>
    <row r="32" spans="1:16" x14ac:dyDescent="0.2">
      <c r="A32" s="1" t="s">
        <v>297</v>
      </c>
      <c r="B32" s="2">
        <f>IF(K34&lt;O4,0,0)</f>
        <v>0</v>
      </c>
      <c r="C32" s="3">
        <f>B56</f>
        <v>0.27385999999999999</v>
      </c>
      <c r="D32" s="3">
        <f>(B32*C32)</f>
        <v>0</v>
      </c>
      <c r="E32" s="38">
        <f t="shared" si="1"/>
        <v>39415</v>
      </c>
      <c r="F32" s="9" t="s">
        <v>290</v>
      </c>
      <c r="G32" s="8">
        <v>19362</v>
      </c>
      <c r="H32" s="75">
        <f t="shared" si="0"/>
        <v>1</v>
      </c>
      <c r="I32" s="41">
        <f>I31+1</f>
        <v>38715</v>
      </c>
      <c r="J32" s="11">
        <v>0.77083333333333337</v>
      </c>
      <c r="K32" s="10">
        <v>19430</v>
      </c>
      <c r="L32" s="30">
        <f t="shared" si="5"/>
        <v>3</v>
      </c>
      <c r="M32" s="43">
        <f>M31+1</f>
        <v>38381</v>
      </c>
      <c r="N32" s="13" t="s">
        <v>26</v>
      </c>
      <c r="O32" s="12">
        <v>19526</v>
      </c>
      <c r="P32" s="23">
        <f t="shared" si="4"/>
        <v>0</v>
      </c>
    </row>
    <row r="33" spans="1:16" x14ac:dyDescent="0.2">
      <c r="A33" s="1" t="s">
        <v>311</v>
      </c>
      <c r="B33" s="2">
        <f>B30</f>
        <v>0</v>
      </c>
      <c r="C33" s="68">
        <v>7.9459999999999999E-3</v>
      </c>
      <c r="D33" s="3">
        <f>(B33*C33)</f>
        <v>0</v>
      </c>
      <c r="E33" s="38">
        <f t="shared" si="1"/>
        <v>39416</v>
      </c>
      <c r="F33" s="9" t="s">
        <v>290</v>
      </c>
      <c r="G33" s="8">
        <v>19364</v>
      </c>
      <c r="H33" s="75">
        <f t="shared" si="0"/>
        <v>2</v>
      </c>
      <c r="I33" s="41">
        <f>I32+1</f>
        <v>38716</v>
      </c>
      <c r="J33" s="11">
        <v>0.77083333333333337</v>
      </c>
      <c r="K33" s="10">
        <v>19434</v>
      </c>
      <c r="L33" s="30">
        <f t="shared" si="5"/>
        <v>4</v>
      </c>
      <c r="M33" s="43">
        <f>M32+1</f>
        <v>38382</v>
      </c>
      <c r="N33" s="13" t="s">
        <v>290</v>
      </c>
      <c r="O33" s="12">
        <v>19533</v>
      </c>
      <c r="P33" s="23">
        <f t="shared" si="4"/>
        <v>7</v>
      </c>
    </row>
    <row r="34" spans="1:16" x14ac:dyDescent="0.2">
      <c r="A34" s="1" t="s">
        <v>312</v>
      </c>
      <c r="B34" s="2">
        <f>B31</f>
        <v>0</v>
      </c>
      <c r="C34" s="68">
        <v>7.9459999999999999E-3</v>
      </c>
      <c r="D34" s="3">
        <f t="shared" ref="D34:D48" si="6">B34*C34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 t="s">
        <v>25</v>
      </c>
      <c r="K34" s="10">
        <v>19434</v>
      </c>
      <c r="L34" s="30">
        <f t="shared" si="5"/>
        <v>0</v>
      </c>
      <c r="M34" s="43">
        <f>M33+1</f>
        <v>38383</v>
      </c>
      <c r="N34" s="13" t="s">
        <v>290</v>
      </c>
      <c r="O34" s="12">
        <v>19536</v>
      </c>
      <c r="P34" s="23">
        <f t="shared" si="4"/>
        <v>3</v>
      </c>
    </row>
    <row r="35" spans="1:16" ht="13.5" thickBot="1" x14ac:dyDescent="0.25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301</v>
      </c>
      <c r="B36" s="2">
        <f t="shared" ref="B36:B41" si="7">B30</f>
        <v>0</v>
      </c>
      <c r="C36" s="3">
        <v>5.9560000000000002E-2</v>
      </c>
      <c r="D36" s="3">
        <f t="shared" si="6"/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v>38384</v>
      </c>
      <c r="F38" s="9">
        <v>0.77083333333333337</v>
      </c>
      <c r="G38" s="8">
        <v>19540</v>
      </c>
      <c r="H38" s="75">
        <f>G38-O34</f>
        <v>4</v>
      </c>
      <c r="I38" s="46">
        <v>38412</v>
      </c>
      <c r="J38" s="11" t="s">
        <v>290</v>
      </c>
      <c r="K38" s="10">
        <v>19600</v>
      </c>
      <c r="L38" s="30">
        <f>IF(AND(H69&lt;&gt;"",K38&lt;&gt;""),K38-K37,K38-MAX(G38:G69))</f>
        <v>2</v>
      </c>
      <c r="M38" s="43">
        <v>38443</v>
      </c>
      <c r="N38" s="13" t="s">
        <v>25</v>
      </c>
      <c r="O38" s="12">
        <v>19608</v>
      </c>
      <c r="P38" s="23">
        <f>IF(AND(L69&lt;&gt;"",O38&lt;&gt;""),O38-O37,O38-MAX(K38:K69))</f>
        <v>0</v>
      </c>
    </row>
    <row r="39" spans="1:16" x14ac:dyDescent="0.2">
      <c r="A39" s="1" t="s">
        <v>292</v>
      </c>
      <c r="B39" s="2">
        <f t="shared" si="7"/>
        <v>0</v>
      </c>
      <c r="C39" s="3">
        <v>3.0720999999999998E-2</v>
      </c>
      <c r="D39" s="3">
        <f t="shared" si="6"/>
        <v>0</v>
      </c>
      <c r="E39" s="38">
        <f>E38+1</f>
        <v>38385</v>
      </c>
      <c r="F39" s="9">
        <v>0.77083333333333337</v>
      </c>
      <c r="G39" s="8">
        <v>19543</v>
      </c>
      <c r="H39" s="75">
        <f t="shared" ref="H39:H62" si="8">IF(AND(H38&lt;&gt;"",G39&lt;&gt;""),G39-G38,"")</f>
        <v>3</v>
      </c>
      <c r="I39" s="41">
        <f>I38+1</f>
        <v>38413</v>
      </c>
      <c r="J39" s="11">
        <v>0.77083333333333337</v>
      </c>
      <c r="K39" s="10">
        <v>19601</v>
      </c>
      <c r="L39" s="30">
        <f t="shared" ref="L39:L69" si="9">IF(AND(L38&lt;&gt;"",K39&lt;&gt;""),K39-K38,"")</f>
        <v>1</v>
      </c>
      <c r="M39" s="43">
        <f>M38+1</f>
        <v>38444</v>
      </c>
      <c r="N39" s="13" t="s">
        <v>26</v>
      </c>
      <c r="O39" s="12">
        <v>19608</v>
      </c>
      <c r="P39" s="23">
        <f t="shared" ref="P39:P67" si="10">IF(AND(P38&lt;&gt;"",O39&lt;&gt;""),O39-O38,"")</f>
        <v>0</v>
      </c>
    </row>
    <row r="40" spans="1:16" x14ac:dyDescent="0.2">
      <c r="A40" s="1" t="s">
        <v>293</v>
      </c>
      <c r="B40" s="2">
        <f t="shared" si="7"/>
        <v>0</v>
      </c>
      <c r="C40" s="3">
        <v>3.0720999999999998E-2</v>
      </c>
      <c r="D40" s="3">
        <f t="shared" si="6"/>
        <v>0</v>
      </c>
      <c r="E40" s="38">
        <f t="shared" ref="E40:E65" si="11">E39+1</f>
        <v>38386</v>
      </c>
      <c r="F40" s="9">
        <v>0.77083333333333337</v>
      </c>
      <c r="G40" s="8">
        <v>19545</v>
      </c>
      <c r="H40" s="75">
        <f t="shared" si="8"/>
        <v>2</v>
      </c>
      <c r="I40" s="41">
        <f t="shared" ref="I40:I62" si="12">I39+1</f>
        <v>38414</v>
      </c>
      <c r="J40" s="11">
        <v>0.77083333333333337</v>
      </c>
      <c r="K40" s="10">
        <v>19602</v>
      </c>
      <c r="L40" s="30">
        <f t="shared" si="9"/>
        <v>1</v>
      </c>
      <c r="M40" s="43">
        <f t="shared" ref="M40:M67" si="13">M39+1</f>
        <v>38445</v>
      </c>
      <c r="N40" s="13">
        <v>0.77083333333333337</v>
      </c>
      <c r="O40" s="12">
        <v>19608</v>
      </c>
      <c r="P40" s="23">
        <f t="shared" si="10"/>
        <v>0</v>
      </c>
    </row>
    <row r="41" spans="1:16" x14ac:dyDescent="0.2">
      <c r="A41" s="1" t="s">
        <v>294</v>
      </c>
      <c r="B41" s="2">
        <f t="shared" si="7"/>
        <v>0</v>
      </c>
      <c r="C41" s="3">
        <v>3.0720999999999998E-2</v>
      </c>
      <c r="D41" s="3">
        <f t="shared" si="6"/>
        <v>0</v>
      </c>
      <c r="E41" s="38">
        <f t="shared" si="11"/>
        <v>38387</v>
      </c>
      <c r="F41" s="9" t="s">
        <v>25</v>
      </c>
      <c r="G41" s="8">
        <v>19545</v>
      </c>
      <c r="H41" s="75">
        <f t="shared" si="8"/>
        <v>0</v>
      </c>
      <c r="I41" s="41">
        <f t="shared" si="12"/>
        <v>38415</v>
      </c>
      <c r="J41" s="11" t="s">
        <v>25</v>
      </c>
      <c r="K41" s="10">
        <v>19602</v>
      </c>
      <c r="L41" s="30">
        <f t="shared" si="9"/>
        <v>0</v>
      </c>
      <c r="M41" s="43">
        <f t="shared" si="13"/>
        <v>38446</v>
      </c>
      <c r="N41" s="13">
        <v>0.77083333333333337</v>
      </c>
      <c r="O41" s="12">
        <v>19608</v>
      </c>
      <c r="P41" s="23">
        <f t="shared" si="10"/>
        <v>0</v>
      </c>
    </row>
    <row r="42" spans="1:16" x14ac:dyDescent="0.2">
      <c r="A42" s="1" t="s">
        <v>323</v>
      </c>
      <c r="B42" s="2">
        <f ca="1">B28</f>
        <v>2168</v>
      </c>
      <c r="C42" s="70">
        <f>(B62+B63+B64)/365</f>
        <v>0.2233698630136986</v>
      </c>
      <c r="D42" s="3">
        <f t="shared" ca="1" si="6"/>
        <v>484.26586301369855</v>
      </c>
      <c r="E42" s="38">
        <f t="shared" si="11"/>
        <v>38388</v>
      </c>
      <c r="F42" s="9" t="s">
        <v>26</v>
      </c>
      <c r="G42" s="8">
        <v>19545</v>
      </c>
      <c r="H42" s="75">
        <f t="shared" si="8"/>
        <v>0</v>
      </c>
      <c r="I42" s="41">
        <f t="shared" si="12"/>
        <v>38416</v>
      </c>
      <c r="J42" s="11" t="s">
        <v>26</v>
      </c>
      <c r="K42" s="10">
        <v>19602</v>
      </c>
      <c r="L42" s="30">
        <f t="shared" si="9"/>
        <v>0</v>
      </c>
      <c r="M42" s="43">
        <f t="shared" si="13"/>
        <v>38447</v>
      </c>
      <c r="N42" s="13">
        <v>0.77083333333333337</v>
      </c>
      <c r="O42" s="12">
        <v>19608</v>
      </c>
      <c r="P42" s="23">
        <f t="shared" si="10"/>
        <v>0</v>
      </c>
    </row>
    <row r="43" spans="1:16" x14ac:dyDescent="0.2">
      <c r="A43" s="1" t="s">
        <v>22</v>
      </c>
      <c r="B43" s="2">
        <f>B30</f>
        <v>0</v>
      </c>
      <c r="C43" s="3">
        <v>2.6554000000000001E-2</v>
      </c>
      <c r="D43" s="3">
        <f t="shared" si="6"/>
        <v>0</v>
      </c>
      <c r="E43" s="38">
        <f t="shared" si="11"/>
        <v>38389</v>
      </c>
      <c r="F43" s="9">
        <v>0.77083333333333337</v>
      </c>
      <c r="G43" s="8">
        <v>19550</v>
      </c>
      <c r="H43" s="75">
        <f t="shared" si="8"/>
        <v>5</v>
      </c>
      <c r="I43" s="41">
        <f t="shared" si="12"/>
        <v>38417</v>
      </c>
      <c r="J43" s="11">
        <v>0.77083333333333337</v>
      </c>
      <c r="K43" s="10">
        <v>19605</v>
      </c>
      <c r="L43" s="30">
        <f t="shared" si="9"/>
        <v>3</v>
      </c>
      <c r="M43" s="43">
        <f t="shared" si="13"/>
        <v>38448</v>
      </c>
      <c r="N43" s="13">
        <v>0.77083333333333337</v>
      </c>
      <c r="O43" s="12"/>
      <c r="P43" s="23" t="str">
        <f t="shared" si="10"/>
        <v/>
      </c>
    </row>
    <row r="44" spans="1:16" x14ac:dyDescent="0.2">
      <c r="A44" s="1" t="s">
        <v>15</v>
      </c>
      <c r="B44" s="2">
        <f>B31</f>
        <v>0</v>
      </c>
      <c r="C44" s="3">
        <v>0.125357</v>
      </c>
      <c r="D44" s="3">
        <f t="shared" si="6"/>
        <v>0</v>
      </c>
      <c r="E44" s="38">
        <f t="shared" si="11"/>
        <v>38390</v>
      </c>
      <c r="F44" s="9">
        <v>0.77083333333333337</v>
      </c>
      <c r="G44" s="8">
        <v>19552</v>
      </c>
      <c r="H44" s="75">
        <f t="shared" si="8"/>
        <v>2</v>
      </c>
      <c r="I44" s="41">
        <f t="shared" si="12"/>
        <v>38418</v>
      </c>
      <c r="J44" s="11">
        <v>0.77083333333333337</v>
      </c>
      <c r="K44" s="10">
        <v>19606</v>
      </c>
      <c r="L44" s="30">
        <f t="shared" si="9"/>
        <v>1</v>
      </c>
      <c r="M44" s="43">
        <f t="shared" si="13"/>
        <v>38449</v>
      </c>
      <c r="N44" s="13">
        <v>0.77083333333333337</v>
      </c>
      <c r="O44" s="12"/>
      <c r="P44" s="23" t="str">
        <f t="shared" si="10"/>
        <v/>
      </c>
    </row>
    <row r="45" spans="1:16" x14ac:dyDescent="0.2">
      <c r="A45" s="1" t="s">
        <v>17</v>
      </c>
      <c r="B45" s="2">
        <f>B32</f>
        <v>0</v>
      </c>
      <c r="C45" s="29">
        <v>0.104272</v>
      </c>
      <c r="D45" s="3">
        <f t="shared" si="6"/>
        <v>0</v>
      </c>
      <c r="E45" s="38">
        <f t="shared" si="11"/>
        <v>38391</v>
      </c>
      <c r="F45" s="9">
        <v>0.77083333333333337</v>
      </c>
      <c r="G45" s="8">
        <v>19555</v>
      </c>
      <c r="H45" s="75">
        <f t="shared" si="8"/>
        <v>3</v>
      </c>
      <c r="I45" s="41">
        <f t="shared" si="12"/>
        <v>38419</v>
      </c>
      <c r="J45" s="11">
        <v>0.77083333333333337</v>
      </c>
      <c r="K45" s="10">
        <v>19607</v>
      </c>
      <c r="L45" s="30">
        <f t="shared" si="9"/>
        <v>1</v>
      </c>
      <c r="M45" s="43">
        <f t="shared" si="13"/>
        <v>38450</v>
      </c>
      <c r="N45" s="13">
        <v>0.77083333333333337</v>
      </c>
      <c r="O45" s="12"/>
      <c r="P45" s="23" t="str">
        <f t="shared" si="10"/>
        <v/>
      </c>
    </row>
    <row r="46" spans="1:16" x14ac:dyDescent="0.2">
      <c r="A46" s="1" t="s">
        <v>314</v>
      </c>
      <c r="B46" s="104">
        <f>B30</f>
        <v>0</v>
      </c>
      <c r="C46" s="120">
        <f>B58</f>
        <v>4.3999999999999997E-2</v>
      </c>
      <c r="D46" s="3">
        <f t="shared" si="6"/>
        <v>0</v>
      </c>
      <c r="E46" s="38">
        <f t="shared" si="11"/>
        <v>38392</v>
      </c>
      <c r="F46" s="9">
        <v>0.77083333333333337</v>
      </c>
      <c r="G46" s="8">
        <v>19558</v>
      </c>
      <c r="H46" s="75">
        <f t="shared" si="8"/>
        <v>3</v>
      </c>
      <c r="I46" s="41">
        <f t="shared" si="12"/>
        <v>38420</v>
      </c>
      <c r="J46" s="11">
        <v>0.77083333333333337</v>
      </c>
      <c r="K46" s="10">
        <v>19607</v>
      </c>
      <c r="L46" s="30">
        <f t="shared" si="9"/>
        <v>0</v>
      </c>
      <c r="M46" s="43">
        <f t="shared" si="13"/>
        <v>38451</v>
      </c>
      <c r="N46" s="13">
        <v>0.77083333333333337</v>
      </c>
      <c r="O46" s="12"/>
      <c r="P46" s="23" t="str">
        <f t="shared" si="10"/>
        <v/>
      </c>
    </row>
    <row r="47" spans="1:16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6"/>
        <v>0</v>
      </c>
      <c r="E47" s="38">
        <f t="shared" si="11"/>
        <v>38393</v>
      </c>
      <c r="F47" s="9">
        <v>0.77083333333333337</v>
      </c>
      <c r="G47" s="8">
        <v>19561</v>
      </c>
      <c r="H47" s="75">
        <f t="shared" si="8"/>
        <v>3</v>
      </c>
      <c r="I47" s="41">
        <f t="shared" si="12"/>
        <v>38421</v>
      </c>
      <c r="J47" s="11">
        <v>0.77083333333333337</v>
      </c>
      <c r="K47" s="10">
        <v>19607</v>
      </c>
      <c r="L47" s="30">
        <f t="shared" si="9"/>
        <v>0</v>
      </c>
      <c r="M47" s="43">
        <f t="shared" si="13"/>
        <v>38452</v>
      </c>
      <c r="N47" s="13" t="s">
        <v>25</v>
      </c>
      <c r="O47" s="12"/>
      <c r="P47" s="23" t="str">
        <f t="shared" si="10"/>
        <v/>
      </c>
    </row>
    <row r="48" spans="1:16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6"/>
        <v>0</v>
      </c>
      <c r="E48" s="38">
        <f t="shared" si="11"/>
        <v>38394</v>
      </c>
      <c r="F48" s="9" t="s">
        <v>25</v>
      </c>
      <c r="G48" s="8">
        <v>19561</v>
      </c>
      <c r="H48" s="75">
        <f t="shared" si="8"/>
        <v>0</v>
      </c>
      <c r="I48" s="41">
        <f t="shared" si="12"/>
        <v>38422</v>
      </c>
      <c r="J48" s="11" t="s">
        <v>25</v>
      </c>
      <c r="K48" s="10">
        <v>19607</v>
      </c>
      <c r="L48" s="30">
        <f t="shared" si="9"/>
        <v>0</v>
      </c>
      <c r="M48" s="43">
        <f t="shared" si="13"/>
        <v>38453</v>
      </c>
      <c r="N48" s="13" t="s">
        <v>26</v>
      </c>
      <c r="O48" s="12"/>
      <c r="P48" s="23" t="str">
        <f t="shared" si="10"/>
        <v/>
      </c>
    </row>
    <row r="49" spans="1:16" x14ac:dyDescent="0.2">
      <c r="E49" s="38">
        <f t="shared" si="11"/>
        <v>38395</v>
      </c>
      <c r="F49" s="9" t="s">
        <v>26</v>
      </c>
      <c r="G49" s="8">
        <v>19561</v>
      </c>
      <c r="H49" s="75">
        <f t="shared" si="8"/>
        <v>0</v>
      </c>
      <c r="I49" s="41">
        <f t="shared" si="12"/>
        <v>38423</v>
      </c>
      <c r="J49" s="11" t="s">
        <v>26</v>
      </c>
      <c r="K49" s="10">
        <v>19607</v>
      </c>
      <c r="L49" s="30">
        <f t="shared" si="9"/>
        <v>0</v>
      </c>
      <c r="M49" s="43">
        <f t="shared" si="13"/>
        <v>38454</v>
      </c>
      <c r="N49" s="13">
        <v>0.77083333333333337</v>
      </c>
      <c r="O49" s="12"/>
      <c r="P49" s="23" t="str">
        <f t="shared" si="10"/>
        <v/>
      </c>
    </row>
    <row r="50" spans="1:16" x14ac:dyDescent="0.2">
      <c r="E50" s="38">
        <f t="shared" si="11"/>
        <v>38396</v>
      </c>
      <c r="F50" s="9">
        <v>0.77083333333333337</v>
      </c>
      <c r="G50" s="8">
        <v>19561</v>
      </c>
      <c r="H50" s="75">
        <f t="shared" si="8"/>
        <v>0</v>
      </c>
      <c r="I50" s="41">
        <f t="shared" si="12"/>
        <v>38424</v>
      </c>
      <c r="J50" s="11">
        <v>0.77083333333333337</v>
      </c>
      <c r="K50" s="10">
        <v>19607</v>
      </c>
      <c r="L50" s="30">
        <f t="shared" si="9"/>
        <v>0</v>
      </c>
      <c r="M50" s="43">
        <f t="shared" si="13"/>
        <v>38455</v>
      </c>
      <c r="N50" s="13">
        <v>0.77083333333333337</v>
      </c>
      <c r="O50" s="12"/>
      <c r="P50" s="23" t="str">
        <f t="shared" si="10"/>
        <v/>
      </c>
    </row>
    <row r="51" spans="1:16" x14ac:dyDescent="0.2">
      <c r="A51" s="1" t="s">
        <v>96</v>
      </c>
      <c r="B51" s="2"/>
      <c r="C51" s="3"/>
      <c r="D51" s="55">
        <f>(SUM(D30:D31)+SUM(D33:D34)+SUM(D36:D37)+SUM(D39:D40)+SUM(D43+D44+D46+D47))*1.1</f>
        <v>0</v>
      </c>
      <c r="E51" s="38">
        <f t="shared" si="11"/>
        <v>38397</v>
      </c>
      <c r="F51" s="9">
        <v>0.77083333333333337</v>
      </c>
      <c r="G51" s="8">
        <v>19569</v>
      </c>
      <c r="H51" s="75">
        <f t="shared" si="8"/>
        <v>8</v>
      </c>
      <c r="I51" s="41">
        <f t="shared" si="12"/>
        <v>38425</v>
      </c>
      <c r="J51" s="11">
        <v>0.77083333333333337</v>
      </c>
      <c r="K51" s="10">
        <v>19608</v>
      </c>
      <c r="L51" s="30">
        <f t="shared" si="9"/>
        <v>1</v>
      </c>
      <c r="M51" s="43">
        <f t="shared" si="13"/>
        <v>38456</v>
      </c>
      <c r="N51" s="13">
        <v>0.77083333333333337</v>
      </c>
      <c r="O51" s="12"/>
      <c r="P51" s="23" t="str">
        <f t="shared" si="10"/>
        <v/>
      </c>
    </row>
    <row r="52" spans="1:16" x14ac:dyDescent="0.2">
      <c r="A52" s="1" t="s">
        <v>264</v>
      </c>
      <c r="D52" s="55">
        <f ca="1">(SUM(D32+D35+D38+D41+D42+D45+D48))*1.22</f>
        <v>590.80435287671219</v>
      </c>
      <c r="E52" s="38">
        <f t="shared" si="11"/>
        <v>38398</v>
      </c>
      <c r="F52" s="9">
        <v>0.77083333333333337</v>
      </c>
      <c r="G52" s="8">
        <v>19572</v>
      </c>
      <c r="H52" s="75">
        <f t="shared" si="8"/>
        <v>3</v>
      </c>
      <c r="I52" s="41">
        <f t="shared" si="12"/>
        <v>38426</v>
      </c>
      <c r="J52" s="11">
        <v>0.77083333333333337</v>
      </c>
      <c r="K52" s="10">
        <v>19608</v>
      </c>
      <c r="L52" s="30">
        <f t="shared" si="9"/>
        <v>0</v>
      </c>
      <c r="M52" s="43">
        <f t="shared" si="13"/>
        <v>38457</v>
      </c>
      <c r="N52" s="13">
        <v>0.77083333333333337</v>
      </c>
      <c r="O52" s="12"/>
      <c r="P52" s="23" t="str">
        <f t="shared" si="10"/>
        <v/>
      </c>
    </row>
    <row r="53" spans="1:16" x14ac:dyDescent="0.2">
      <c r="A53" s="1"/>
      <c r="B53" s="2"/>
      <c r="C53" s="3"/>
      <c r="D53" s="3"/>
      <c r="E53" s="38">
        <f t="shared" si="11"/>
        <v>38399</v>
      </c>
      <c r="F53" s="9">
        <v>0.77083333333333337</v>
      </c>
      <c r="G53" s="8">
        <v>19574</v>
      </c>
      <c r="H53" s="75">
        <f t="shared" si="8"/>
        <v>2</v>
      </c>
      <c r="I53" s="41">
        <f t="shared" si="12"/>
        <v>38427</v>
      </c>
      <c r="J53" s="11">
        <v>0.77083333333333337</v>
      </c>
      <c r="K53" s="10">
        <v>19608</v>
      </c>
      <c r="L53" s="30">
        <f t="shared" si="9"/>
        <v>0</v>
      </c>
      <c r="M53" s="43">
        <f t="shared" si="13"/>
        <v>38458</v>
      </c>
      <c r="N53" s="13">
        <v>0.77083333333333337</v>
      </c>
      <c r="O53" s="12"/>
      <c r="P53" s="23" t="str">
        <f t="shared" si="10"/>
        <v/>
      </c>
    </row>
    <row r="54" spans="1:16" x14ac:dyDescent="0.2">
      <c r="A54" s="1" t="s">
        <v>298</v>
      </c>
      <c r="B54" s="26">
        <v>0.27385999999999999</v>
      </c>
      <c r="C54" s="65"/>
      <c r="D54" s="26"/>
      <c r="E54" s="38">
        <f t="shared" si="11"/>
        <v>38400</v>
      </c>
      <c r="F54" s="9">
        <v>0.77083333333333337</v>
      </c>
      <c r="G54" s="8">
        <v>19576</v>
      </c>
      <c r="H54" s="75">
        <f t="shared" si="8"/>
        <v>2</v>
      </c>
      <c r="I54" s="41">
        <f t="shared" si="12"/>
        <v>38428</v>
      </c>
      <c r="J54" s="11">
        <v>0.77083333333333337</v>
      </c>
      <c r="K54" s="10">
        <v>19608</v>
      </c>
      <c r="L54" s="30">
        <f t="shared" si="9"/>
        <v>0</v>
      </c>
      <c r="M54" s="43">
        <f t="shared" si="13"/>
        <v>38459</v>
      </c>
      <c r="N54" s="13" t="s">
        <v>25</v>
      </c>
      <c r="O54" s="12"/>
      <c r="P54" s="23" t="str">
        <f t="shared" si="10"/>
        <v/>
      </c>
    </row>
    <row r="55" spans="1:16" x14ac:dyDescent="0.2">
      <c r="A55" s="1" t="s">
        <v>299</v>
      </c>
      <c r="B55" s="26">
        <v>0.27385999999999999</v>
      </c>
      <c r="C55" s="65"/>
      <c r="D55" s="3"/>
      <c r="E55" s="38">
        <f t="shared" si="11"/>
        <v>38401</v>
      </c>
      <c r="F55" s="9" t="s">
        <v>25</v>
      </c>
      <c r="G55" s="8">
        <v>19576</v>
      </c>
      <c r="H55" s="75">
        <f t="shared" si="8"/>
        <v>0</v>
      </c>
      <c r="I55" s="41">
        <f t="shared" si="12"/>
        <v>38429</v>
      </c>
      <c r="J55" s="11" t="s">
        <v>25</v>
      </c>
      <c r="K55" s="10">
        <v>19608</v>
      </c>
      <c r="L55" s="30">
        <f t="shared" si="9"/>
        <v>0</v>
      </c>
      <c r="M55" s="43">
        <f t="shared" si="13"/>
        <v>38460</v>
      </c>
      <c r="N55" s="13" t="s">
        <v>26</v>
      </c>
      <c r="O55" s="12"/>
      <c r="P55" s="23" t="str">
        <f t="shared" si="10"/>
        <v/>
      </c>
    </row>
    <row r="56" spans="1:16" x14ac:dyDescent="0.2">
      <c r="A56" s="1" t="s">
        <v>300</v>
      </c>
      <c r="B56" s="26">
        <v>0.27385999999999999</v>
      </c>
      <c r="C56" s="65"/>
      <c r="D56" s="3"/>
      <c r="E56" s="38">
        <f t="shared" si="11"/>
        <v>38402</v>
      </c>
      <c r="F56" s="9" t="s">
        <v>26</v>
      </c>
      <c r="G56" s="8">
        <v>19576</v>
      </c>
      <c r="H56" s="75">
        <f t="shared" si="8"/>
        <v>0</v>
      </c>
      <c r="I56" s="41">
        <f t="shared" si="12"/>
        <v>38430</v>
      </c>
      <c r="J56" s="11" t="s">
        <v>26</v>
      </c>
      <c r="K56" s="10">
        <v>19608</v>
      </c>
      <c r="L56" s="30">
        <f t="shared" si="9"/>
        <v>0</v>
      </c>
      <c r="M56" s="43">
        <f t="shared" si="13"/>
        <v>38461</v>
      </c>
      <c r="N56" s="13">
        <v>0.77083333333333337</v>
      </c>
      <c r="O56" s="12"/>
      <c r="P56" s="23" t="str">
        <f t="shared" si="10"/>
        <v/>
      </c>
    </row>
    <row r="57" spans="1:16" x14ac:dyDescent="0.2">
      <c r="A57" s="1"/>
      <c r="B57" s="2"/>
      <c r="C57" s="3"/>
      <c r="D57" s="3"/>
      <c r="E57" s="38">
        <f t="shared" si="11"/>
        <v>38403</v>
      </c>
      <c r="F57" s="9">
        <v>0.77083333333333337</v>
      </c>
      <c r="G57" s="8">
        <v>19581</v>
      </c>
      <c r="H57" s="75">
        <f t="shared" si="8"/>
        <v>5</v>
      </c>
      <c r="I57" s="41">
        <f t="shared" si="12"/>
        <v>38431</v>
      </c>
      <c r="J57" s="11">
        <v>0.77083333333333337</v>
      </c>
      <c r="K57" s="10">
        <v>19608</v>
      </c>
      <c r="L57" s="30">
        <f t="shared" si="9"/>
        <v>0</v>
      </c>
      <c r="M57" s="43">
        <f t="shared" si="13"/>
        <v>38462</v>
      </c>
      <c r="N57" s="13">
        <v>0.77083333333333337</v>
      </c>
      <c r="O57" s="12"/>
      <c r="P57" s="23" t="str">
        <f t="shared" si="10"/>
        <v/>
      </c>
    </row>
    <row r="58" spans="1:16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38404</v>
      </c>
      <c r="F58" s="9">
        <v>0.77083333333333337</v>
      </c>
      <c r="G58" s="8">
        <v>19585</v>
      </c>
      <c r="H58" s="75">
        <f t="shared" si="8"/>
        <v>4</v>
      </c>
      <c r="I58" s="41">
        <f t="shared" si="12"/>
        <v>38432</v>
      </c>
      <c r="J58" s="11">
        <v>0.77083333333333337</v>
      </c>
      <c r="K58" s="10">
        <v>19608</v>
      </c>
      <c r="L58" s="30">
        <f t="shared" si="9"/>
        <v>0</v>
      </c>
      <c r="M58" s="43">
        <f t="shared" si="13"/>
        <v>38463</v>
      </c>
      <c r="N58" s="13">
        <v>0.77083333333333337</v>
      </c>
      <c r="O58" s="12"/>
      <c r="P58" s="23" t="str">
        <f t="shared" si="10"/>
        <v/>
      </c>
    </row>
    <row r="59" spans="1:16" x14ac:dyDescent="0.2">
      <c r="A59" s="1" t="s">
        <v>304</v>
      </c>
      <c r="B59" s="26">
        <v>0.17499999999999999</v>
      </c>
      <c r="C59" s="3"/>
      <c r="D59" s="3"/>
      <c r="E59" s="38">
        <f t="shared" si="11"/>
        <v>38405</v>
      </c>
      <c r="F59" s="9">
        <v>0.77083333333333337</v>
      </c>
      <c r="G59" s="8">
        <v>19588</v>
      </c>
      <c r="H59" s="75">
        <f t="shared" si="8"/>
        <v>3</v>
      </c>
      <c r="I59" s="41">
        <f t="shared" si="12"/>
        <v>38433</v>
      </c>
      <c r="J59" s="11">
        <v>0.77083333333333337</v>
      </c>
      <c r="K59" s="10">
        <v>19608</v>
      </c>
      <c r="L59" s="30">
        <f t="shared" si="9"/>
        <v>0</v>
      </c>
      <c r="M59" s="43">
        <f t="shared" si="13"/>
        <v>38464</v>
      </c>
      <c r="N59" s="13">
        <v>0.77083333333333337</v>
      </c>
      <c r="O59" s="12"/>
      <c r="P59" s="23" t="str">
        <f t="shared" si="10"/>
        <v/>
      </c>
    </row>
    <row r="60" spans="1:16" x14ac:dyDescent="0.2">
      <c r="A60" s="1" t="s">
        <v>305</v>
      </c>
      <c r="B60" s="26">
        <v>0.17</v>
      </c>
      <c r="C60" s="3"/>
      <c r="D60" s="3"/>
      <c r="E60" s="38">
        <f t="shared" si="11"/>
        <v>38406</v>
      </c>
      <c r="F60" s="9">
        <v>0.77083333333333337</v>
      </c>
      <c r="G60" s="8">
        <v>19590</v>
      </c>
      <c r="H60" s="75">
        <f t="shared" si="8"/>
        <v>2</v>
      </c>
      <c r="I60" s="41">
        <f t="shared" si="12"/>
        <v>38434</v>
      </c>
      <c r="J60" s="11">
        <v>0.77083333333333337</v>
      </c>
      <c r="K60" s="10">
        <v>19608</v>
      </c>
      <c r="L60" s="30">
        <f t="shared" si="9"/>
        <v>0</v>
      </c>
      <c r="M60" s="43">
        <f t="shared" si="13"/>
        <v>38465</v>
      </c>
      <c r="N60" s="13">
        <v>0.77083333333333337</v>
      </c>
      <c r="O60" s="12"/>
      <c r="P60" s="23" t="str">
        <f t="shared" si="10"/>
        <v/>
      </c>
    </row>
    <row r="61" spans="1:16" x14ac:dyDescent="0.2">
      <c r="A61" s="1"/>
      <c r="B61" s="2"/>
      <c r="C61" s="3"/>
      <c r="D61" s="3"/>
      <c r="E61" s="38">
        <f t="shared" si="11"/>
        <v>38407</v>
      </c>
      <c r="F61" s="9">
        <v>0.77083333333333337</v>
      </c>
      <c r="G61" s="8">
        <v>19591</v>
      </c>
      <c r="H61" s="75">
        <f t="shared" si="8"/>
        <v>1</v>
      </c>
      <c r="I61" s="41">
        <f t="shared" si="12"/>
        <v>38435</v>
      </c>
      <c r="J61" s="11">
        <v>0.77083333333333337</v>
      </c>
      <c r="K61" s="10">
        <v>19608</v>
      </c>
      <c r="L61" s="30">
        <f t="shared" si="9"/>
        <v>0</v>
      </c>
      <c r="M61" s="43">
        <f t="shared" si="13"/>
        <v>38466</v>
      </c>
      <c r="N61" s="13" t="s">
        <v>25</v>
      </c>
      <c r="O61" s="12"/>
      <c r="P61" s="23" t="str">
        <f t="shared" si="10"/>
        <v/>
      </c>
    </row>
    <row r="62" spans="1:16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38408</v>
      </c>
      <c r="F62" s="9" t="s">
        <v>25</v>
      </c>
      <c r="G62" s="8">
        <v>19591</v>
      </c>
      <c r="H62" s="75">
        <f t="shared" si="8"/>
        <v>0</v>
      </c>
      <c r="I62" s="41">
        <f t="shared" si="12"/>
        <v>38436</v>
      </c>
      <c r="J62" s="11" t="s">
        <v>25</v>
      </c>
      <c r="K62" s="10">
        <v>19608</v>
      </c>
      <c r="L62" s="30">
        <f t="shared" si="9"/>
        <v>0</v>
      </c>
      <c r="M62" s="43">
        <f t="shared" si="13"/>
        <v>38467</v>
      </c>
      <c r="N62" s="13" t="s">
        <v>26</v>
      </c>
      <c r="O62" s="12"/>
      <c r="P62" s="23" t="str">
        <f t="shared" si="10"/>
        <v/>
      </c>
    </row>
    <row r="63" spans="1:16" x14ac:dyDescent="0.2">
      <c r="A63" s="1" t="s">
        <v>54</v>
      </c>
      <c r="B63" s="26">
        <v>57.35</v>
      </c>
      <c r="C63" s="3" t="s">
        <v>86</v>
      </c>
      <c r="D63" s="3"/>
      <c r="E63" s="38">
        <f t="shared" si="11"/>
        <v>38409</v>
      </c>
      <c r="F63" s="9" t="s">
        <v>26</v>
      </c>
      <c r="G63" s="8">
        <v>19591</v>
      </c>
      <c r="H63" s="75">
        <f>IF(AND(H62&lt;&gt;"",G63&lt;&gt;""),G63-G62,"")</f>
        <v>0</v>
      </c>
      <c r="I63" s="41">
        <v>38802</v>
      </c>
      <c r="J63" s="11" t="s">
        <v>26</v>
      </c>
      <c r="K63" s="10">
        <v>19608</v>
      </c>
      <c r="L63" s="30">
        <f t="shared" si="9"/>
        <v>0</v>
      </c>
      <c r="M63" s="43">
        <f t="shared" si="13"/>
        <v>38468</v>
      </c>
      <c r="N63" s="13">
        <v>0.77083333333333337</v>
      </c>
      <c r="O63" s="12"/>
      <c r="P63" s="23" t="str">
        <f t="shared" si="10"/>
        <v/>
      </c>
    </row>
    <row r="64" spans="1:16" x14ac:dyDescent="0.2">
      <c r="A64" s="1" t="s">
        <v>89</v>
      </c>
      <c r="B64" s="26">
        <v>-27.01</v>
      </c>
      <c r="C64" s="3" t="s">
        <v>86</v>
      </c>
      <c r="D64" s="3"/>
      <c r="E64" s="38">
        <f t="shared" si="11"/>
        <v>38410</v>
      </c>
      <c r="F64" s="9" t="s">
        <v>290</v>
      </c>
      <c r="G64" s="8">
        <v>19595</v>
      </c>
      <c r="H64" s="75">
        <f>IF(AND(H63&lt;&gt;"",G64&lt;&gt;""),G64-G63,"")</f>
        <v>4</v>
      </c>
      <c r="I64" s="41">
        <v>38803</v>
      </c>
      <c r="J64" s="11" t="s">
        <v>290</v>
      </c>
      <c r="K64" s="10">
        <v>19608</v>
      </c>
      <c r="L64" s="30">
        <f t="shared" si="9"/>
        <v>0</v>
      </c>
      <c r="M64" s="43">
        <f t="shared" si="13"/>
        <v>38469</v>
      </c>
      <c r="N64" s="13">
        <v>0.77083333333333337</v>
      </c>
      <c r="O64" s="12"/>
      <c r="P64" s="23" t="str">
        <f t="shared" si="10"/>
        <v/>
      </c>
    </row>
    <row r="65" spans="1:16" x14ac:dyDescent="0.2">
      <c r="A65" s="1" t="s">
        <v>91</v>
      </c>
      <c r="B65" s="26">
        <v>0</v>
      </c>
      <c r="C65" s="3" t="s">
        <v>86</v>
      </c>
      <c r="D65" s="3"/>
      <c r="E65" s="38">
        <f t="shared" si="11"/>
        <v>38411</v>
      </c>
      <c r="F65" s="9" t="s">
        <v>290</v>
      </c>
      <c r="G65" s="8">
        <v>19598</v>
      </c>
      <c r="H65" s="75">
        <f>IF(AND(H64&lt;&gt;"",G65&lt;&gt;""),G65-G64,"")</f>
        <v>3</v>
      </c>
      <c r="I65" s="41">
        <v>38804</v>
      </c>
      <c r="J65" s="11" t="s">
        <v>290</v>
      </c>
      <c r="K65" s="10">
        <v>19608</v>
      </c>
      <c r="L65" s="30">
        <f t="shared" si="9"/>
        <v>0</v>
      </c>
      <c r="M65" s="43">
        <f t="shared" si="13"/>
        <v>38470</v>
      </c>
      <c r="N65" s="13">
        <v>0.77083333333333337</v>
      </c>
      <c r="O65" s="12"/>
      <c r="P65" s="23" t="str">
        <f t="shared" si="10"/>
        <v/>
      </c>
    </row>
    <row r="66" spans="1:16" x14ac:dyDescent="0.2">
      <c r="A66" s="1"/>
      <c r="B66" s="2"/>
      <c r="C66" s="3"/>
      <c r="D66" s="3"/>
      <c r="E66" s="38"/>
      <c r="F66" s="9"/>
      <c r="G66" s="107"/>
      <c r="H66" s="75" t="str">
        <f>IF(AND(H65&lt;&gt;"",G66&lt;&gt;""),G66-G65,"")</f>
        <v/>
      </c>
      <c r="I66" s="41">
        <v>38805</v>
      </c>
      <c r="J66" s="11">
        <v>0.77083333333333337</v>
      </c>
      <c r="K66" s="10">
        <v>19608</v>
      </c>
      <c r="L66" s="30">
        <f t="shared" si="9"/>
        <v>0</v>
      </c>
      <c r="M66" s="43">
        <f t="shared" si="13"/>
        <v>38471</v>
      </c>
      <c r="N66" s="13">
        <v>0.77083333333333337</v>
      </c>
      <c r="O66" s="12"/>
      <c r="P66" s="23" t="str">
        <f t="shared" si="10"/>
        <v/>
      </c>
    </row>
    <row r="67" spans="1:16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38806</v>
      </c>
      <c r="J67" s="11">
        <v>0.77083333333333337</v>
      </c>
      <c r="K67" s="10">
        <v>19608</v>
      </c>
      <c r="L67" s="30">
        <f t="shared" si="9"/>
        <v>0</v>
      </c>
      <c r="M67" s="43">
        <f t="shared" si="13"/>
        <v>38472</v>
      </c>
      <c r="N67" s="13">
        <v>0.77083333333333337</v>
      </c>
      <c r="O67" s="12"/>
      <c r="P67" s="23" t="str">
        <f t="shared" si="10"/>
        <v/>
      </c>
    </row>
    <row r="68" spans="1:16" x14ac:dyDescent="0.2">
      <c r="A68" s="1" t="s">
        <v>194</v>
      </c>
      <c r="B68" s="102">
        <v>1.0213190000000001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>
        <v>0.77083333333333337</v>
      </c>
      <c r="K68" s="10">
        <v>19608</v>
      </c>
      <c r="L68" s="30">
        <f t="shared" si="9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9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>
      <c r="A70" s="72" t="s">
        <v>24</v>
      </c>
      <c r="B70" s="55">
        <f ca="1">B2</f>
        <v>590.80435287671219</v>
      </c>
    </row>
  </sheetData>
  <mergeCells count="5">
    <mergeCell ref="C5:D5"/>
    <mergeCell ref="C6:D6"/>
    <mergeCell ref="C7:D7"/>
    <mergeCell ref="C8:D8"/>
    <mergeCell ref="C9:D9"/>
  </mergeCells>
  <conditionalFormatting sqref="P4">
    <cfRule type="cellIs" dxfId="58" priority="8" stopIfTrue="1" operator="lessThan">
      <formula>0</formula>
    </cfRule>
    <cfRule type="cellIs" dxfId="57" priority="9" stopIfTrue="1" operator="lessThan">
      <formula>0</formula>
    </cfRule>
  </conditionalFormatting>
  <conditionalFormatting sqref="L38">
    <cfRule type="cellIs" dxfId="56" priority="7" stopIfTrue="1" operator="lessThan">
      <formula>0</formula>
    </cfRule>
  </conditionalFormatting>
  <conditionalFormatting sqref="H38">
    <cfRule type="cellIs" dxfId="55" priority="6" stopIfTrue="1" operator="lessThan">
      <formula>0</formula>
    </cfRule>
  </conditionalFormatting>
  <conditionalFormatting sqref="P38">
    <cfRule type="cellIs" dxfId="54" priority="5" stopIfTrue="1" operator="lessThan">
      <formula>0</formula>
    </cfRule>
  </conditionalFormatting>
  <conditionalFormatting sqref="B28">
    <cfRule type="cellIs" dxfId="53" priority="4" stopIfTrue="1" operator="greaterThan">
      <formula>366</formula>
    </cfRule>
  </conditionalFormatting>
  <conditionalFormatting sqref="B43:B45 B30:B41">
    <cfRule type="cellIs" dxfId="52" priority="2" stopIfTrue="1" operator="greaterThan">
      <formula>366</formula>
    </cfRule>
    <cfRule type="cellIs" dxfId="51" priority="3" stopIfTrue="1" operator="greaterThan">
      <formula>40472</formula>
    </cfRule>
  </conditionalFormatting>
  <conditionalFormatting sqref="B2">
    <cfRule type="containsText" dxfId="50" priority="1" stopIfTrue="1" operator="containsText" text="#VALORE!">
      <formula>NOT(ISERROR(SEARCH("#VALORE!",B2)))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C13" sqref="C13"/>
    </sheetView>
  </sheetViews>
  <sheetFormatPr defaultRowHeight="12.75" x14ac:dyDescent="0.2"/>
  <cols>
    <col min="1" max="1" width="25.140625" bestFit="1" customWidth="1"/>
    <col min="2" max="2" width="9.7109375" customWidth="1"/>
    <col min="3" max="3" width="9.42578125" bestFit="1" customWidth="1"/>
    <col min="4" max="4" width="10.42578125" bestFit="1" customWidth="1"/>
    <col min="5" max="5" width="9.28515625" bestFit="1" customWidth="1"/>
    <col min="6" max="6" width="5.570312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5703125" bestFit="1" customWidth="1"/>
    <col min="11" max="11" width="6.7109375" bestFit="1" customWidth="1"/>
    <col min="12" max="12" width="4.28515625" customWidth="1"/>
    <col min="13" max="13" width="7.5703125" bestFit="1" customWidth="1"/>
    <col min="14" max="14" width="5.570312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IF(D51="",D52,D51+D52)</f>
        <v>689.45341917808207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 t="s">
        <v>289</v>
      </c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/>
      <c r="B4" s="2"/>
      <c r="C4" s="3"/>
      <c r="D4" s="3"/>
      <c r="E4" s="38">
        <v>39387</v>
      </c>
      <c r="F4" s="9" t="s">
        <v>26</v>
      </c>
      <c r="G4" s="8">
        <v>18999</v>
      </c>
      <c r="H4" s="76">
        <f>IF(G4-B16&lt;0,0,0)</f>
        <v>0</v>
      </c>
      <c r="I4" s="46">
        <v>38687</v>
      </c>
      <c r="J4" s="11">
        <v>0.77083333333333337</v>
      </c>
      <c r="K4" s="10">
        <v>19030</v>
      </c>
      <c r="L4" s="30">
        <f>IF(AND(H35&lt;&gt;"",K4&lt;&gt;""),K4-K3,K4-MAX(G4:G35))</f>
        <v>3</v>
      </c>
      <c r="M4" s="43">
        <v>38353</v>
      </c>
      <c r="N4" s="13" t="s">
        <v>33</v>
      </c>
      <c r="O4" s="12">
        <v>19116</v>
      </c>
      <c r="P4" s="23">
        <f>IF(AND(L35&lt;&gt;"",O4&lt;&gt;""),O4-O3,O4-MAX(K4:K34))</f>
        <v>0</v>
      </c>
    </row>
    <row r="5" spans="1:16" x14ac:dyDescent="0.2">
      <c r="A5" s="1" t="s">
        <v>325</v>
      </c>
      <c r="B5" s="26">
        <v>91.34</v>
      </c>
      <c r="C5" s="131" t="s">
        <v>284</v>
      </c>
      <c r="D5" s="132"/>
      <c r="E5" s="38">
        <f>E4+1</f>
        <v>39388</v>
      </c>
      <c r="F5" s="9">
        <v>0.77083333333333337</v>
      </c>
      <c r="G5" s="8">
        <v>18999</v>
      </c>
      <c r="H5" s="75">
        <f t="shared" ref="H5:H35" si="0">IF(AND(H4&lt;&gt;"",G5&lt;&gt;""),G5-G4,"")</f>
        <v>0</v>
      </c>
      <c r="I5" s="41">
        <f>I4+1</f>
        <v>38688</v>
      </c>
      <c r="J5" s="11">
        <v>0.77083333333333337</v>
      </c>
      <c r="K5" s="10">
        <v>19033</v>
      </c>
      <c r="L5" s="30">
        <f>IF(AND(L4&lt;&gt;"",K5&lt;&gt;""),K5-K4,"")</f>
        <v>3</v>
      </c>
      <c r="M5" s="43">
        <f>M4+1</f>
        <v>38354</v>
      </c>
      <c r="N5" s="13" t="s">
        <v>25</v>
      </c>
      <c r="O5" s="12">
        <v>19116</v>
      </c>
      <c r="P5" s="23">
        <f>IF(AND(P4&lt;&gt;"",O5&lt;&gt;""),O5-O4,"")</f>
        <v>0</v>
      </c>
    </row>
    <row r="6" spans="1:16" x14ac:dyDescent="0.2">
      <c r="A6" s="1" t="s">
        <v>309</v>
      </c>
      <c r="B6" s="26">
        <v>80.45</v>
      </c>
      <c r="C6" s="131" t="s">
        <v>284</v>
      </c>
      <c r="D6" s="132"/>
      <c r="E6" s="38">
        <f t="shared" ref="E6:E33" si="1">E5+1</f>
        <v>39389</v>
      </c>
      <c r="F6" s="9">
        <v>0.77083333333333337</v>
      </c>
      <c r="G6" s="8">
        <v>18999</v>
      </c>
      <c r="H6" s="75">
        <f t="shared" si="0"/>
        <v>0</v>
      </c>
      <c r="I6" s="41">
        <f t="shared" ref="I6:I29" si="2">I5+1</f>
        <v>38689</v>
      </c>
      <c r="J6" s="11">
        <v>0.77083333333333337</v>
      </c>
      <c r="K6" s="10">
        <v>19037</v>
      </c>
      <c r="L6" s="30">
        <f>IF(AND(L5&lt;&gt;"",K6&lt;&gt;""),K6-K5,"")</f>
        <v>4</v>
      </c>
      <c r="M6" s="43">
        <f t="shared" ref="M6:M29" si="3">M5+1</f>
        <v>38355</v>
      </c>
      <c r="N6" s="13" t="s">
        <v>26</v>
      </c>
      <c r="O6" s="12">
        <v>19116</v>
      </c>
      <c r="P6" s="23">
        <f t="shared" ref="P6:P35" si="4">IF(AND(P5&lt;&gt;"",O6&lt;&gt;""),O6-O5,"")</f>
        <v>0</v>
      </c>
    </row>
    <row r="7" spans="1:16" x14ac:dyDescent="0.2">
      <c r="A7" s="1" t="s">
        <v>324</v>
      </c>
      <c r="B7" s="26">
        <v>0</v>
      </c>
      <c r="C7" s="131" t="s">
        <v>287</v>
      </c>
      <c r="D7" s="132"/>
      <c r="E7" s="38">
        <f t="shared" si="1"/>
        <v>39390</v>
      </c>
      <c r="F7" s="9">
        <v>0.77083333333333337</v>
      </c>
      <c r="G7" s="8">
        <v>18999</v>
      </c>
      <c r="H7" s="75">
        <f t="shared" si="0"/>
        <v>0</v>
      </c>
      <c r="I7" s="41">
        <f t="shared" si="2"/>
        <v>38690</v>
      </c>
      <c r="J7" s="11">
        <v>0.77083333333333337</v>
      </c>
      <c r="K7" s="10">
        <v>19042</v>
      </c>
      <c r="L7" s="30">
        <f>IF(AND(L6&lt;&gt;"",K7&lt;&gt;""),K7-K6,"")</f>
        <v>5</v>
      </c>
      <c r="M7" s="43">
        <f t="shared" si="3"/>
        <v>38356</v>
      </c>
      <c r="N7" s="13">
        <v>0.77083333333333337</v>
      </c>
      <c r="O7" s="12">
        <v>19126</v>
      </c>
      <c r="P7" s="23">
        <f t="shared" si="4"/>
        <v>10</v>
      </c>
    </row>
    <row r="8" spans="1:16" x14ac:dyDescent="0.2">
      <c r="A8" s="1" t="s">
        <v>327</v>
      </c>
      <c r="B8" s="26">
        <v>79.069999999999993</v>
      </c>
      <c r="C8" s="133" t="s">
        <v>287</v>
      </c>
      <c r="D8" s="133"/>
      <c r="E8" s="38">
        <f t="shared" si="1"/>
        <v>39391</v>
      </c>
      <c r="F8" s="9">
        <v>0.77083333333333337</v>
      </c>
      <c r="G8" s="8">
        <v>18999</v>
      </c>
      <c r="H8" s="75">
        <f t="shared" si="0"/>
        <v>0</v>
      </c>
      <c r="I8" s="41">
        <f t="shared" si="2"/>
        <v>38691</v>
      </c>
      <c r="J8" s="11" t="s">
        <v>25</v>
      </c>
      <c r="K8" s="10">
        <v>19042</v>
      </c>
      <c r="L8" s="30">
        <f>IF(AND(L7&lt;&gt;"",K8&lt;&gt;""),K8-K7,"")</f>
        <v>0</v>
      </c>
      <c r="M8" s="43">
        <f t="shared" si="3"/>
        <v>38357</v>
      </c>
      <c r="N8" s="13">
        <v>0.77083333333333337</v>
      </c>
      <c r="O8" s="12">
        <v>19134</v>
      </c>
      <c r="P8" s="23">
        <f t="shared" si="4"/>
        <v>8</v>
      </c>
    </row>
    <row r="9" spans="1:16" x14ac:dyDescent="0.2">
      <c r="A9" s="1" t="s">
        <v>326</v>
      </c>
      <c r="B9" s="26">
        <v>111.15</v>
      </c>
      <c r="C9" s="128" t="s">
        <v>339</v>
      </c>
      <c r="D9" s="128"/>
      <c r="E9" s="38">
        <f t="shared" si="1"/>
        <v>39392</v>
      </c>
      <c r="F9" s="9">
        <v>0.77083333333333337</v>
      </c>
      <c r="G9" s="8">
        <v>18999</v>
      </c>
      <c r="H9" s="75">
        <f t="shared" si="0"/>
        <v>0</v>
      </c>
      <c r="I9" s="41">
        <f t="shared" si="2"/>
        <v>38692</v>
      </c>
      <c r="J9" s="11" t="s">
        <v>26</v>
      </c>
      <c r="K9" s="10">
        <v>19042</v>
      </c>
      <c r="L9" s="30">
        <f>IF(AND(L8&lt;&gt;"",K9&lt;&gt;""),K9-K8,"")</f>
        <v>0</v>
      </c>
      <c r="M9" s="43">
        <f t="shared" si="3"/>
        <v>38358</v>
      </c>
      <c r="N9" s="13" t="s">
        <v>83</v>
      </c>
      <c r="O9" s="12">
        <v>19134</v>
      </c>
      <c r="P9" s="23">
        <f t="shared" si="4"/>
        <v>0</v>
      </c>
    </row>
    <row r="10" spans="1:16" x14ac:dyDescent="0.2">
      <c r="A10" s="63" t="s">
        <v>310</v>
      </c>
      <c r="B10" s="64">
        <f>SUM(B5:B9)</f>
        <v>362.01</v>
      </c>
      <c r="C10" s="3"/>
      <c r="D10" s="3"/>
      <c r="E10" s="38">
        <f t="shared" si="1"/>
        <v>39393</v>
      </c>
      <c r="F10" s="9" t="s">
        <v>25</v>
      </c>
      <c r="G10" s="8">
        <v>18999</v>
      </c>
      <c r="H10" s="75">
        <f t="shared" si="0"/>
        <v>0</v>
      </c>
      <c r="I10" s="41">
        <f t="shared" si="2"/>
        <v>38693</v>
      </c>
      <c r="J10" s="11">
        <v>0.77083333333333337</v>
      </c>
      <c r="K10" s="10">
        <v>19048</v>
      </c>
      <c r="L10" s="30">
        <f t="shared" ref="L10:L35" si="5">IF(AND(L9&lt;&gt;"",K10&lt;&gt;""),K10-K9,"")</f>
        <v>6</v>
      </c>
      <c r="M10" s="43">
        <f t="shared" si="3"/>
        <v>38359</v>
      </c>
      <c r="N10" s="13">
        <v>0.77083333333333337</v>
      </c>
      <c r="O10" s="12">
        <v>19141</v>
      </c>
      <c r="P10" s="23">
        <f t="shared" si="4"/>
        <v>7</v>
      </c>
    </row>
    <row r="11" spans="1:16" x14ac:dyDescent="0.2">
      <c r="E11" s="38">
        <f t="shared" si="1"/>
        <v>39394</v>
      </c>
      <c r="F11" s="9" t="s">
        <v>26</v>
      </c>
      <c r="G11" s="8">
        <v>18999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19048</v>
      </c>
      <c r="L11" s="30">
        <f t="shared" si="5"/>
        <v>0</v>
      </c>
      <c r="M11" s="43">
        <f t="shared" si="3"/>
        <v>38360</v>
      </c>
      <c r="N11" s="13">
        <v>0.77083333333333337</v>
      </c>
      <c r="O11" s="12">
        <v>19147</v>
      </c>
      <c r="P11" s="23">
        <f t="shared" si="4"/>
        <v>6</v>
      </c>
    </row>
    <row r="12" spans="1:16" x14ac:dyDescent="0.2">
      <c r="A12" s="1" t="s">
        <v>307</v>
      </c>
      <c r="B12" s="27">
        <f>(MAX(G3:G33,K4:K34,O4:O34,G38:G65,K38:K68,O38:O67)-MIN(G4,G35))</f>
        <v>346</v>
      </c>
      <c r="C12" s="3"/>
      <c r="D12" s="3"/>
      <c r="E12" s="38">
        <f t="shared" si="1"/>
        <v>39395</v>
      </c>
      <c r="F12" s="9">
        <v>0.77083333333333337</v>
      </c>
      <c r="G12" s="8">
        <v>18999</v>
      </c>
      <c r="H12" s="75">
        <f t="shared" si="0"/>
        <v>0</v>
      </c>
      <c r="I12" s="41">
        <f t="shared" si="2"/>
        <v>38695</v>
      </c>
      <c r="J12" s="11">
        <v>0.77083333333333337</v>
      </c>
      <c r="K12" s="10">
        <v>19055</v>
      </c>
      <c r="L12" s="30">
        <f t="shared" si="5"/>
        <v>7</v>
      </c>
      <c r="M12" s="43">
        <f t="shared" si="3"/>
        <v>38361</v>
      </c>
      <c r="N12" s="13" t="s">
        <v>25</v>
      </c>
      <c r="O12" s="12">
        <v>19147</v>
      </c>
      <c r="P12" s="23">
        <f t="shared" si="4"/>
        <v>0</v>
      </c>
    </row>
    <row r="13" spans="1:16" x14ac:dyDescent="0.2">
      <c r="A13" s="1" t="s">
        <v>273</v>
      </c>
      <c r="B13" s="2">
        <f>(MAX(G4:G33,K4:K34)-'1516'!O4)*B68</f>
        <v>0</v>
      </c>
      <c r="C13" s="118"/>
      <c r="D13" s="119"/>
      <c r="E13" s="38">
        <f t="shared" si="1"/>
        <v>39396</v>
      </c>
      <c r="F13" s="9">
        <v>0.77083333333333337</v>
      </c>
      <c r="G13" s="8">
        <v>18999</v>
      </c>
      <c r="H13" s="75">
        <f t="shared" si="0"/>
        <v>0</v>
      </c>
      <c r="I13" s="41">
        <f t="shared" si="2"/>
        <v>38696</v>
      </c>
      <c r="J13" s="11">
        <v>0.77083333333333337</v>
      </c>
      <c r="K13" s="10">
        <v>19059</v>
      </c>
      <c r="L13" s="30">
        <f t="shared" si="5"/>
        <v>4</v>
      </c>
      <c r="M13" s="43">
        <f t="shared" si="3"/>
        <v>38362</v>
      </c>
      <c r="N13" s="13" t="s">
        <v>26</v>
      </c>
      <c r="O13" s="12">
        <v>19147</v>
      </c>
      <c r="P13" s="23">
        <f>IF(AND(P12&lt;&gt;"",O13&lt;&gt;""),O13-O12,"")</f>
        <v>0</v>
      </c>
    </row>
    <row r="14" spans="1:16" x14ac:dyDescent="0.2">
      <c r="A14" s="1" t="s">
        <v>317</v>
      </c>
      <c r="B14" s="2">
        <f>IF(O4="",0,((MAX(O4:O34,G38:G68,K38:K68,O38:O68))-O4)*B68)</f>
        <v>233.88205100000002</v>
      </c>
      <c r="C14" s="3"/>
      <c r="D14" s="3"/>
      <c r="E14" s="38">
        <f t="shared" si="1"/>
        <v>39397</v>
      </c>
      <c r="F14" s="9">
        <v>0.77083333333333337</v>
      </c>
      <c r="G14" s="8">
        <v>18999</v>
      </c>
      <c r="H14" s="75">
        <f t="shared" si="0"/>
        <v>0</v>
      </c>
      <c r="I14" s="41">
        <f t="shared" si="2"/>
        <v>38697</v>
      </c>
      <c r="J14" s="11">
        <v>0.77083333333333337</v>
      </c>
      <c r="K14" s="10">
        <v>19062</v>
      </c>
      <c r="L14" s="30">
        <f t="shared" si="5"/>
        <v>3</v>
      </c>
      <c r="M14" s="43">
        <f t="shared" si="3"/>
        <v>38363</v>
      </c>
      <c r="N14" s="13">
        <v>0.77083333333333337</v>
      </c>
      <c r="O14" s="12">
        <v>19155</v>
      </c>
      <c r="P14" s="23">
        <f t="shared" si="4"/>
        <v>8</v>
      </c>
    </row>
    <row r="15" spans="1:16" ht="13.5" thickBot="1" x14ac:dyDescent="0.25">
      <c r="C15" s="3"/>
      <c r="D15" s="3"/>
      <c r="E15" s="38">
        <f t="shared" si="1"/>
        <v>39398</v>
      </c>
      <c r="F15" s="9">
        <v>0.77083333333333337</v>
      </c>
      <c r="G15" s="8">
        <v>18999</v>
      </c>
      <c r="H15" s="75">
        <f t="shared" si="0"/>
        <v>0</v>
      </c>
      <c r="I15" s="41">
        <f t="shared" si="2"/>
        <v>38698</v>
      </c>
      <c r="J15" s="11" t="s">
        <v>25</v>
      </c>
      <c r="K15" s="10">
        <v>19062</v>
      </c>
      <c r="L15" s="30">
        <f t="shared" si="5"/>
        <v>0</v>
      </c>
      <c r="M15" s="43">
        <f t="shared" si="3"/>
        <v>38364</v>
      </c>
      <c r="N15" s="13">
        <v>0.77083333333333337</v>
      </c>
      <c r="O15" s="12">
        <v>19159</v>
      </c>
      <c r="P15" s="23">
        <f t="shared" si="4"/>
        <v>4</v>
      </c>
    </row>
    <row r="16" spans="1:16" ht="14.25" thickTop="1" thickBot="1" x14ac:dyDescent="0.25">
      <c r="A16" s="1" t="s">
        <v>58</v>
      </c>
      <c r="B16" s="2">
        <v>19345</v>
      </c>
      <c r="C16" s="106" t="s">
        <v>287</v>
      </c>
      <c r="D16" s="105">
        <v>42490</v>
      </c>
      <c r="E16" s="38">
        <f t="shared" si="1"/>
        <v>39399</v>
      </c>
      <c r="F16" s="9">
        <v>0.77083333333333337</v>
      </c>
      <c r="G16" s="8">
        <v>18999</v>
      </c>
      <c r="H16" s="75">
        <f t="shared" si="0"/>
        <v>0</v>
      </c>
      <c r="I16" s="41">
        <f t="shared" si="2"/>
        <v>38699</v>
      </c>
      <c r="J16" s="11" t="s">
        <v>26</v>
      </c>
      <c r="K16" s="10">
        <v>19062</v>
      </c>
      <c r="L16" s="30">
        <f t="shared" si="5"/>
        <v>0</v>
      </c>
      <c r="M16" s="43">
        <f t="shared" si="3"/>
        <v>38365</v>
      </c>
      <c r="N16" s="13">
        <v>0.77083333333333337</v>
      </c>
      <c r="O16" s="12">
        <v>19163</v>
      </c>
      <c r="P16" s="23">
        <f t="shared" si="4"/>
        <v>4</v>
      </c>
    </row>
    <row r="17" spans="1:16" ht="13.5" thickTop="1" x14ac:dyDescent="0.2">
      <c r="A17" s="1" t="s">
        <v>274</v>
      </c>
      <c r="B17" s="2">
        <f>(B16-('1415'!O4))*B68</f>
        <v>694.49692000000005</v>
      </c>
      <c r="C17" s="118"/>
      <c r="D17" s="118"/>
      <c r="E17" s="38">
        <f t="shared" si="1"/>
        <v>39400</v>
      </c>
      <c r="F17" s="9" t="s">
        <v>25</v>
      </c>
      <c r="G17" s="8">
        <v>18999</v>
      </c>
      <c r="H17" s="75">
        <f t="shared" si="0"/>
        <v>0</v>
      </c>
      <c r="I17" s="41">
        <f t="shared" si="2"/>
        <v>38700</v>
      </c>
      <c r="J17" s="11">
        <v>0.77083333333333337</v>
      </c>
      <c r="K17" s="10">
        <v>19070</v>
      </c>
      <c r="L17" s="30">
        <f t="shared" si="5"/>
        <v>8</v>
      </c>
      <c r="M17" s="43">
        <f t="shared" si="3"/>
        <v>38366</v>
      </c>
      <c r="N17" s="13">
        <v>0.77083333333333337</v>
      </c>
      <c r="O17" s="12">
        <v>19167</v>
      </c>
      <c r="P17" s="23">
        <f t="shared" si="4"/>
        <v>4</v>
      </c>
    </row>
    <row r="18" spans="1:16" x14ac:dyDescent="0.2">
      <c r="A18" s="1" t="s">
        <v>308</v>
      </c>
      <c r="B18" s="2">
        <f>IF(OR(O4&gt;B16,O4=""),0,B16-K34)</f>
        <v>229</v>
      </c>
      <c r="C18" s="3"/>
      <c r="D18" s="3"/>
      <c r="E18" s="38">
        <f t="shared" si="1"/>
        <v>39401</v>
      </c>
      <c r="F18" s="9" t="s">
        <v>26</v>
      </c>
      <c r="G18" s="8">
        <v>18999</v>
      </c>
      <c r="H18" s="75">
        <f t="shared" si="0"/>
        <v>0</v>
      </c>
      <c r="I18" s="41">
        <f t="shared" si="2"/>
        <v>38701</v>
      </c>
      <c r="J18" s="11">
        <v>0.77083333333333337</v>
      </c>
      <c r="K18" s="10">
        <v>19073</v>
      </c>
      <c r="L18" s="30">
        <f t="shared" si="5"/>
        <v>3</v>
      </c>
      <c r="M18" s="43">
        <f t="shared" si="3"/>
        <v>38367</v>
      </c>
      <c r="N18" s="13">
        <v>0.77083333333333337</v>
      </c>
      <c r="O18" s="12">
        <v>19172</v>
      </c>
      <c r="P18" s="23">
        <f t="shared" si="4"/>
        <v>5</v>
      </c>
    </row>
    <row r="19" spans="1:16" x14ac:dyDescent="0.2">
      <c r="E19" s="38">
        <f t="shared" si="1"/>
        <v>39402</v>
      </c>
      <c r="F19" s="9">
        <v>0.77083333333333337</v>
      </c>
      <c r="G19" s="8">
        <v>18999</v>
      </c>
      <c r="H19" s="75">
        <f t="shared" si="0"/>
        <v>0</v>
      </c>
      <c r="I19" s="41">
        <f t="shared" si="2"/>
        <v>38702</v>
      </c>
      <c r="J19" s="11">
        <v>0.77083333333333337</v>
      </c>
      <c r="K19" s="10">
        <v>19076</v>
      </c>
      <c r="L19" s="30">
        <f t="shared" si="5"/>
        <v>3</v>
      </c>
      <c r="M19" s="43">
        <f t="shared" si="3"/>
        <v>38368</v>
      </c>
      <c r="N19" s="13" t="s">
        <v>25</v>
      </c>
      <c r="O19" s="12">
        <v>19172</v>
      </c>
      <c r="P19" s="23">
        <f t="shared" si="4"/>
        <v>0</v>
      </c>
    </row>
    <row r="20" spans="1:16" x14ac:dyDescent="0.2">
      <c r="A20" s="1" t="s">
        <v>318</v>
      </c>
      <c r="B20" s="2">
        <f>IF(AND(B13&gt;480,B17&lt;480),480-B17,0)</f>
        <v>0</v>
      </c>
      <c r="C20" s="3"/>
      <c r="D20" s="3"/>
      <c r="E20" s="38">
        <f t="shared" si="1"/>
        <v>39403</v>
      </c>
      <c r="F20" s="9">
        <v>0.77083333333333337</v>
      </c>
      <c r="G20" s="8">
        <v>18999</v>
      </c>
      <c r="H20" s="75">
        <f t="shared" si="0"/>
        <v>0</v>
      </c>
      <c r="I20" s="41">
        <f t="shared" si="2"/>
        <v>38703</v>
      </c>
      <c r="J20" s="11">
        <v>0.77083333333333337</v>
      </c>
      <c r="K20" s="95">
        <v>19078</v>
      </c>
      <c r="L20" s="30">
        <f t="shared" si="5"/>
        <v>2</v>
      </c>
      <c r="M20" s="43">
        <f t="shared" si="3"/>
        <v>38369</v>
      </c>
      <c r="N20" s="13" t="s">
        <v>26</v>
      </c>
      <c r="O20" s="12">
        <v>19172</v>
      </c>
      <c r="P20" s="23">
        <f t="shared" si="4"/>
        <v>0</v>
      </c>
    </row>
    <row r="21" spans="1:16" x14ac:dyDescent="0.2">
      <c r="A21" s="1" t="s">
        <v>319</v>
      </c>
      <c r="B21" s="2">
        <f>IF(AND(B14&gt;0,B18=0),(K34-B16-B20)*B68,120)</f>
        <v>120</v>
      </c>
      <c r="C21" s="3"/>
      <c r="D21" s="3"/>
      <c r="E21" s="38">
        <f t="shared" si="1"/>
        <v>39404</v>
      </c>
      <c r="F21" s="9">
        <v>0.77083333333333337</v>
      </c>
      <c r="G21" s="8">
        <v>19001</v>
      </c>
      <c r="H21" s="75">
        <f t="shared" si="0"/>
        <v>2</v>
      </c>
      <c r="I21" s="41">
        <f t="shared" si="2"/>
        <v>38704</v>
      </c>
      <c r="J21" s="11">
        <v>0.77083333333333337</v>
      </c>
      <c r="K21" s="10">
        <v>19082</v>
      </c>
      <c r="L21" s="30">
        <f t="shared" si="5"/>
        <v>4</v>
      </c>
      <c r="M21" s="43">
        <f t="shared" si="3"/>
        <v>38370</v>
      </c>
      <c r="N21" s="13">
        <v>0.77083333333333337</v>
      </c>
      <c r="O21" s="12">
        <v>19181</v>
      </c>
      <c r="P21" s="23">
        <f t="shared" si="4"/>
        <v>9</v>
      </c>
    </row>
    <row r="22" spans="1:16" x14ac:dyDescent="0.2">
      <c r="A22" s="1" t="s">
        <v>320</v>
      </c>
      <c r="B22" s="104"/>
      <c r="C22" s="104"/>
      <c r="E22" s="38">
        <f t="shared" si="1"/>
        <v>39405</v>
      </c>
      <c r="F22" s="9">
        <v>0.77083333333333337</v>
      </c>
      <c r="G22" s="8">
        <v>19001</v>
      </c>
      <c r="H22" s="75">
        <f t="shared" si="0"/>
        <v>0</v>
      </c>
      <c r="I22" s="41">
        <f t="shared" si="2"/>
        <v>38705</v>
      </c>
      <c r="J22" s="11" t="s">
        <v>25</v>
      </c>
      <c r="K22" s="10">
        <v>19082</v>
      </c>
      <c r="L22" s="30">
        <f t="shared" si="5"/>
        <v>0</v>
      </c>
      <c r="M22" s="43">
        <f t="shared" si="3"/>
        <v>38371</v>
      </c>
      <c r="N22" s="13">
        <v>0.77083333333333337</v>
      </c>
      <c r="O22" s="12">
        <v>19188</v>
      </c>
      <c r="P22" s="23">
        <f t="shared" si="4"/>
        <v>7</v>
      </c>
    </row>
    <row r="23" spans="1:16" x14ac:dyDescent="0.2">
      <c r="A23" s="1" t="s">
        <v>321</v>
      </c>
      <c r="B23" s="104">
        <f>IF(B14=0,0,B14-120)</f>
        <v>113.88205100000002</v>
      </c>
      <c r="E23" s="38">
        <f t="shared" si="1"/>
        <v>39406</v>
      </c>
      <c r="F23" s="9">
        <v>0.77083333333333337</v>
      </c>
      <c r="G23" s="8">
        <v>19002</v>
      </c>
      <c r="H23" s="75">
        <f t="shared" si="0"/>
        <v>1</v>
      </c>
      <c r="I23" s="41">
        <f t="shared" si="2"/>
        <v>38706</v>
      </c>
      <c r="J23" s="11" t="s">
        <v>26</v>
      </c>
      <c r="K23" s="10">
        <v>19082</v>
      </c>
      <c r="L23" s="30">
        <f t="shared" si="5"/>
        <v>0</v>
      </c>
      <c r="M23" s="43">
        <f t="shared" si="3"/>
        <v>38372</v>
      </c>
      <c r="N23" s="13">
        <v>0.77083333333333337</v>
      </c>
      <c r="O23" s="12">
        <v>19194</v>
      </c>
      <c r="P23" s="23">
        <f t="shared" si="4"/>
        <v>6</v>
      </c>
    </row>
    <row r="24" spans="1:16" x14ac:dyDescent="0.2">
      <c r="A24" s="1" t="s">
        <v>322</v>
      </c>
      <c r="B24" s="104"/>
      <c r="E24" s="38">
        <f t="shared" si="1"/>
        <v>39407</v>
      </c>
      <c r="F24" s="9" t="s">
        <v>25</v>
      </c>
      <c r="G24" s="8">
        <v>19002</v>
      </c>
      <c r="H24" s="75">
        <f t="shared" si="0"/>
        <v>0</v>
      </c>
      <c r="I24" s="41">
        <f t="shared" si="2"/>
        <v>38707</v>
      </c>
      <c r="J24" s="11">
        <v>0.77083333333333337</v>
      </c>
      <c r="K24" s="10">
        <v>19088</v>
      </c>
      <c r="L24" s="30">
        <f t="shared" si="5"/>
        <v>6</v>
      </c>
      <c r="M24" s="43">
        <f t="shared" si="3"/>
        <v>38373</v>
      </c>
      <c r="N24" s="13">
        <v>0.77083333333333337</v>
      </c>
      <c r="O24" s="12">
        <v>19201</v>
      </c>
      <c r="P24" s="23">
        <f t="shared" si="4"/>
        <v>7</v>
      </c>
    </row>
    <row r="25" spans="1:16" x14ac:dyDescent="0.2">
      <c r="E25" s="38">
        <f t="shared" si="1"/>
        <v>39408</v>
      </c>
      <c r="F25" s="9" t="s">
        <v>26</v>
      </c>
      <c r="G25" s="8">
        <v>19002</v>
      </c>
      <c r="H25" s="75">
        <f t="shared" si="0"/>
        <v>0</v>
      </c>
      <c r="I25" s="41">
        <f t="shared" si="2"/>
        <v>38708</v>
      </c>
      <c r="J25" s="11">
        <v>0.77083333333333337</v>
      </c>
      <c r="K25" s="10">
        <v>19091</v>
      </c>
      <c r="L25" s="30">
        <f t="shared" si="5"/>
        <v>3</v>
      </c>
      <c r="M25" s="43">
        <f t="shared" si="3"/>
        <v>38374</v>
      </c>
      <c r="N25" s="13">
        <v>0.77083333333333337</v>
      </c>
      <c r="O25" s="12">
        <v>19207</v>
      </c>
      <c r="P25" s="23">
        <f t="shared" si="4"/>
        <v>6</v>
      </c>
    </row>
    <row r="26" spans="1:16" x14ac:dyDescent="0.2">
      <c r="A26" s="1" t="s">
        <v>291</v>
      </c>
      <c r="B26" s="66" t="s">
        <v>8</v>
      </c>
      <c r="C26" s="67" t="s">
        <v>5</v>
      </c>
      <c r="D26" s="67" t="s">
        <v>6</v>
      </c>
      <c r="E26" s="38">
        <f t="shared" si="1"/>
        <v>39409</v>
      </c>
      <c r="F26" s="9">
        <v>0.77083333333333337</v>
      </c>
      <c r="G26" s="8">
        <v>19005</v>
      </c>
      <c r="H26" s="75">
        <f t="shared" si="0"/>
        <v>3</v>
      </c>
      <c r="I26" s="41">
        <f t="shared" si="2"/>
        <v>38709</v>
      </c>
      <c r="J26" s="11">
        <v>0.77083333333333337</v>
      </c>
      <c r="K26" s="10">
        <v>19094</v>
      </c>
      <c r="L26" s="30">
        <f t="shared" si="5"/>
        <v>3</v>
      </c>
      <c r="M26" s="43">
        <f t="shared" si="3"/>
        <v>38375</v>
      </c>
      <c r="N26" s="13" t="s">
        <v>25</v>
      </c>
      <c r="O26" s="12">
        <v>19207</v>
      </c>
      <c r="P26" s="23">
        <f t="shared" si="4"/>
        <v>0</v>
      </c>
    </row>
    <row r="27" spans="1:16" x14ac:dyDescent="0.2">
      <c r="A27" s="5"/>
      <c r="B27" s="2"/>
      <c r="C27" s="3"/>
      <c r="D27" s="3"/>
      <c r="E27" s="38">
        <f t="shared" si="1"/>
        <v>39410</v>
      </c>
      <c r="F27" s="9">
        <v>0.77083333333333337</v>
      </c>
      <c r="G27" s="8">
        <v>19008</v>
      </c>
      <c r="H27" s="75">
        <f t="shared" si="0"/>
        <v>3</v>
      </c>
      <c r="I27" s="41">
        <f t="shared" si="2"/>
        <v>38710</v>
      </c>
      <c r="J27" s="11">
        <v>0.77083333333333337</v>
      </c>
      <c r="K27" s="10">
        <v>19096</v>
      </c>
      <c r="L27" s="30">
        <f t="shared" si="5"/>
        <v>2</v>
      </c>
      <c r="M27" s="43">
        <f t="shared" si="3"/>
        <v>38376</v>
      </c>
      <c r="N27" s="13" t="s">
        <v>26</v>
      </c>
      <c r="O27" s="12">
        <v>19207</v>
      </c>
      <c r="P27" s="23">
        <f t="shared" si="4"/>
        <v>0</v>
      </c>
    </row>
    <row r="28" spans="1:16" x14ac:dyDescent="0.2">
      <c r="A28" s="1" t="s">
        <v>0</v>
      </c>
      <c r="B28" s="2">
        <f ca="1">SUM(TODAY()-D16)</f>
        <v>2530</v>
      </c>
      <c r="C28" s="3"/>
      <c r="D28" s="3"/>
      <c r="E28" s="38">
        <f t="shared" si="1"/>
        <v>39411</v>
      </c>
      <c r="F28" s="9">
        <v>0.77083333333333337</v>
      </c>
      <c r="G28" s="8">
        <v>19012</v>
      </c>
      <c r="H28" s="75">
        <f t="shared" si="0"/>
        <v>4</v>
      </c>
      <c r="I28" s="46">
        <f t="shared" si="2"/>
        <v>38711</v>
      </c>
      <c r="J28" s="11" t="s">
        <v>31</v>
      </c>
      <c r="K28" s="10">
        <v>19096</v>
      </c>
      <c r="L28" s="30">
        <f t="shared" si="5"/>
        <v>0</v>
      </c>
      <c r="M28" s="43">
        <f t="shared" si="3"/>
        <v>38377</v>
      </c>
      <c r="N28" s="13">
        <v>0.77083333333333337</v>
      </c>
      <c r="O28" s="12">
        <v>19217</v>
      </c>
      <c r="P28" s="23">
        <f t="shared" si="4"/>
        <v>10</v>
      </c>
    </row>
    <row r="29" spans="1:16" x14ac:dyDescent="0.2">
      <c r="A29" s="1" t="s">
        <v>85</v>
      </c>
      <c r="B29" s="2">
        <f>(MAX(G4:G33, K4:K34,O4:O34, G38:G71, K38:K73, O38:O72)-B16)*B68</f>
        <v>0</v>
      </c>
      <c r="C29" s="3"/>
      <c r="D29" s="3"/>
      <c r="E29" s="38">
        <f t="shared" si="1"/>
        <v>39412</v>
      </c>
      <c r="F29" s="9">
        <v>0.77083333333333337</v>
      </c>
      <c r="G29" s="8">
        <v>19016</v>
      </c>
      <c r="H29" s="75">
        <f t="shared" si="0"/>
        <v>4</v>
      </c>
      <c r="I29" s="41">
        <f t="shared" si="2"/>
        <v>38712</v>
      </c>
      <c r="J29" s="51" t="s">
        <v>68</v>
      </c>
      <c r="K29" s="10">
        <v>19096</v>
      </c>
      <c r="L29" s="30">
        <f t="shared" si="5"/>
        <v>0</v>
      </c>
      <c r="M29" s="43">
        <f t="shared" si="3"/>
        <v>38378</v>
      </c>
      <c r="N29" s="13">
        <v>0.77083333333333337</v>
      </c>
      <c r="O29" s="12">
        <v>19221</v>
      </c>
      <c r="P29" s="23">
        <f t="shared" si="4"/>
        <v>4</v>
      </c>
    </row>
    <row r="30" spans="1:16" x14ac:dyDescent="0.2">
      <c r="A30" s="1" t="s">
        <v>295</v>
      </c>
      <c r="B30" s="2">
        <f>IF((B14&gt;120),0,B29)</f>
        <v>0</v>
      </c>
      <c r="C30" s="3">
        <f>B54</f>
        <v>0.26561800000000002</v>
      </c>
      <c r="D30" s="3">
        <f>(B30*C30)</f>
        <v>0</v>
      </c>
      <c r="E30" s="38">
        <f t="shared" si="1"/>
        <v>39413</v>
      </c>
      <c r="F30" s="9">
        <v>0.77083333333333337</v>
      </c>
      <c r="G30" s="8">
        <v>19020</v>
      </c>
      <c r="H30" s="75">
        <f t="shared" si="0"/>
        <v>4</v>
      </c>
      <c r="I30" s="41">
        <f>I29+1</f>
        <v>38713</v>
      </c>
      <c r="J30" s="11" t="s">
        <v>26</v>
      </c>
      <c r="K30" s="10">
        <v>19096</v>
      </c>
      <c r="L30" s="30">
        <f t="shared" si="5"/>
        <v>0</v>
      </c>
      <c r="M30" s="43">
        <f>M29+1</f>
        <v>38379</v>
      </c>
      <c r="N30" s="13">
        <v>0.77083333333333337</v>
      </c>
      <c r="O30" s="12">
        <v>19225</v>
      </c>
      <c r="P30" s="23">
        <f t="shared" si="4"/>
        <v>4</v>
      </c>
    </row>
    <row r="31" spans="1:16" x14ac:dyDescent="0.2">
      <c r="A31" s="1" t="s">
        <v>296</v>
      </c>
      <c r="B31" s="121">
        <f>IF(AND(B14&gt;120,B13&lt;480),(B29),0)</f>
        <v>0</v>
      </c>
      <c r="C31" s="3">
        <f>B55</f>
        <v>0.26561800000000002</v>
      </c>
      <c r="D31" s="3">
        <f>(B31*C31)</f>
        <v>0</v>
      </c>
      <c r="E31" s="38">
        <f t="shared" si="1"/>
        <v>39414</v>
      </c>
      <c r="F31" s="9" t="s">
        <v>25</v>
      </c>
      <c r="G31" s="8">
        <v>19020</v>
      </c>
      <c r="H31" s="75">
        <f t="shared" si="0"/>
        <v>0</v>
      </c>
      <c r="I31" s="41">
        <f>I30+1</f>
        <v>38714</v>
      </c>
      <c r="J31" s="11" t="s">
        <v>290</v>
      </c>
      <c r="K31" s="10">
        <v>19101</v>
      </c>
      <c r="L31" s="30">
        <f t="shared" si="5"/>
        <v>5</v>
      </c>
      <c r="M31" s="43">
        <f>M30+1</f>
        <v>38380</v>
      </c>
      <c r="N31" s="13">
        <v>0.77083333333333337</v>
      </c>
      <c r="O31" s="12">
        <v>19228</v>
      </c>
      <c r="P31" s="23">
        <f t="shared" si="4"/>
        <v>3</v>
      </c>
    </row>
    <row r="32" spans="1:16" x14ac:dyDescent="0.2">
      <c r="A32" s="1" t="s">
        <v>297</v>
      </c>
      <c r="B32" s="2">
        <f>IF(K34&lt;O4,0,0)</f>
        <v>0</v>
      </c>
      <c r="C32" s="3">
        <f>B56</f>
        <v>0.26561800000000002</v>
      </c>
      <c r="D32" s="3">
        <f>(B32*C32)</f>
        <v>0</v>
      </c>
      <c r="E32" s="38">
        <f t="shared" si="1"/>
        <v>39415</v>
      </c>
      <c r="F32" s="9" t="s">
        <v>26</v>
      </c>
      <c r="G32" s="8">
        <v>19020</v>
      </c>
      <c r="H32" s="75">
        <f t="shared" si="0"/>
        <v>0</v>
      </c>
      <c r="I32" s="41">
        <f>I31+1</f>
        <v>38715</v>
      </c>
      <c r="J32" s="11">
        <v>0.77083333333333337</v>
      </c>
      <c r="K32" s="10">
        <v>19108</v>
      </c>
      <c r="L32" s="30">
        <f t="shared" si="5"/>
        <v>7</v>
      </c>
      <c r="M32" s="43">
        <f>M31+1</f>
        <v>38381</v>
      </c>
      <c r="N32" s="13">
        <v>0.77083333333333337</v>
      </c>
      <c r="O32" s="12">
        <v>19230</v>
      </c>
      <c r="P32" s="23">
        <f t="shared" si="4"/>
        <v>2</v>
      </c>
    </row>
    <row r="33" spans="1:16" x14ac:dyDescent="0.2">
      <c r="A33" s="1" t="s">
        <v>311</v>
      </c>
      <c r="B33" s="2">
        <f>B30</f>
        <v>0</v>
      </c>
      <c r="C33" s="68">
        <v>7.9459999999999999E-3</v>
      </c>
      <c r="D33" s="3">
        <f>(B33*C33)</f>
        <v>0</v>
      </c>
      <c r="E33" s="38">
        <f t="shared" si="1"/>
        <v>39416</v>
      </c>
      <c r="F33" s="9" t="s">
        <v>290</v>
      </c>
      <c r="G33" s="8">
        <v>19027</v>
      </c>
      <c r="H33" s="75">
        <f t="shared" si="0"/>
        <v>7</v>
      </c>
      <c r="I33" s="41">
        <f>I32+1</f>
        <v>38716</v>
      </c>
      <c r="J33" s="11">
        <v>0.77083333333333337</v>
      </c>
      <c r="K33" s="10">
        <v>19112</v>
      </c>
      <c r="L33" s="30">
        <f t="shared" si="5"/>
        <v>4</v>
      </c>
      <c r="M33" s="43">
        <f>M32+1</f>
        <v>38382</v>
      </c>
      <c r="N33" s="13" t="s">
        <v>25</v>
      </c>
      <c r="O33" s="12">
        <v>19230</v>
      </c>
      <c r="P33" s="23">
        <f t="shared" si="4"/>
        <v>0</v>
      </c>
    </row>
    <row r="34" spans="1:16" x14ac:dyDescent="0.2">
      <c r="A34" s="1" t="s">
        <v>312</v>
      </c>
      <c r="B34" s="2">
        <f>B31</f>
        <v>0</v>
      </c>
      <c r="C34" s="68">
        <v>7.9459999999999999E-3</v>
      </c>
      <c r="D34" s="3">
        <f t="shared" ref="D34:D42" si="6">B34*C34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>
        <v>0.77083333333333337</v>
      </c>
      <c r="K34" s="10">
        <v>19116</v>
      </c>
      <c r="L34" s="30">
        <f t="shared" si="5"/>
        <v>4</v>
      </c>
      <c r="M34" s="43">
        <f>M33+1</f>
        <v>38383</v>
      </c>
      <c r="N34" s="13" t="s">
        <v>26</v>
      </c>
      <c r="O34" s="12">
        <v>19230</v>
      </c>
      <c r="P34" s="23">
        <f t="shared" si="4"/>
        <v>0</v>
      </c>
    </row>
    <row r="35" spans="1:16" ht="13.5" thickBot="1" x14ac:dyDescent="0.25">
      <c r="A35" s="1" t="s">
        <v>313</v>
      </c>
      <c r="B35" s="2">
        <f>B32</f>
        <v>0</v>
      </c>
      <c r="C35" s="68">
        <v>7.9459999999999999E-3</v>
      </c>
      <c r="D35" s="3">
        <f t="shared" si="6"/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301</v>
      </c>
      <c r="B36" s="2">
        <f t="shared" ref="B36:B41" si="7">B30</f>
        <v>0</v>
      </c>
      <c r="C36" s="3">
        <v>5.9560000000000002E-2</v>
      </c>
      <c r="D36" s="3">
        <f t="shared" si="6"/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302</v>
      </c>
      <c r="B37" s="2">
        <f t="shared" si="7"/>
        <v>0</v>
      </c>
      <c r="C37" s="3">
        <f>0.0376+0.002474+0.00642+0.0001</f>
        <v>4.6594000000000003E-2</v>
      </c>
      <c r="D37" s="3">
        <f t="shared" si="6"/>
        <v>0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303</v>
      </c>
      <c r="B38" s="2">
        <f t="shared" si="7"/>
        <v>0</v>
      </c>
      <c r="C38" s="3">
        <v>5.4514E-2</v>
      </c>
      <c r="D38" s="3">
        <f t="shared" si="6"/>
        <v>0</v>
      </c>
      <c r="E38" s="38">
        <v>38384</v>
      </c>
      <c r="F38" s="9">
        <v>0.77083333333333337</v>
      </c>
      <c r="G38" s="8">
        <v>19234</v>
      </c>
      <c r="H38" s="75">
        <f>G38-O34</f>
        <v>4</v>
      </c>
      <c r="I38" s="46">
        <v>38412</v>
      </c>
      <c r="J38" s="11" t="s">
        <v>290</v>
      </c>
      <c r="K38" s="10">
        <v>19304</v>
      </c>
      <c r="L38" s="30">
        <f>IF(AND(H69&lt;&gt;"",K38&lt;&gt;""),K38-K37,K38-MAX(G38:G69))</f>
        <v>2</v>
      </c>
      <c r="M38" s="43">
        <v>38443</v>
      </c>
      <c r="N38" s="13">
        <v>0.77083333333333337</v>
      </c>
      <c r="O38" s="12">
        <v>19345</v>
      </c>
      <c r="P38" s="23">
        <f>IF(AND(L69&lt;&gt;"",O38&lt;&gt;""),O38-O37,O38-MAX(K38:K69))</f>
        <v>0</v>
      </c>
    </row>
    <row r="39" spans="1:16" x14ac:dyDescent="0.2">
      <c r="A39" s="1" t="s">
        <v>292</v>
      </c>
      <c r="B39" s="2">
        <f t="shared" si="7"/>
        <v>0</v>
      </c>
      <c r="C39" s="3">
        <v>3.9489999999999997E-2</v>
      </c>
      <c r="D39" s="3">
        <f t="shared" si="6"/>
        <v>0</v>
      </c>
      <c r="E39" s="38">
        <f>E38+1</f>
        <v>38385</v>
      </c>
      <c r="F39" s="9">
        <v>0.77083333333333337</v>
      </c>
      <c r="G39" s="8">
        <v>19237</v>
      </c>
      <c r="H39" s="75">
        <f t="shared" ref="H39:H62" si="8">IF(AND(H38&lt;&gt;"",G39&lt;&gt;""),G39-G38,"")</f>
        <v>3</v>
      </c>
      <c r="I39" s="41">
        <f>I38+1</f>
        <v>38413</v>
      </c>
      <c r="J39" s="11">
        <v>0.77083333333333337</v>
      </c>
      <c r="K39" s="10">
        <v>19306</v>
      </c>
      <c r="L39" s="30">
        <f t="shared" ref="L39:L69" si="9">IF(AND(L38&lt;&gt;"",K39&lt;&gt;""),K39-K38,"")</f>
        <v>2</v>
      </c>
      <c r="M39" s="43">
        <f>M38+1</f>
        <v>38444</v>
      </c>
      <c r="N39" s="13" t="s">
        <v>25</v>
      </c>
      <c r="O39" s="12">
        <v>19345</v>
      </c>
      <c r="P39" s="23">
        <f t="shared" ref="P39:P67" si="10">IF(AND(P38&lt;&gt;"",O39&lt;&gt;""),O39-O38,"")</f>
        <v>0</v>
      </c>
    </row>
    <row r="40" spans="1:16" x14ac:dyDescent="0.2">
      <c r="A40" s="1" t="s">
        <v>293</v>
      </c>
      <c r="B40" s="2">
        <f t="shared" si="7"/>
        <v>0</v>
      </c>
      <c r="C40" s="29">
        <v>4.3999999999999997E-2</v>
      </c>
      <c r="D40" s="3">
        <f t="shared" si="6"/>
        <v>0</v>
      </c>
      <c r="E40" s="38">
        <f t="shared" ref="E40:E62" si="11">E39+1</f>
        <v>38386</v>
      </c>
      <c r="F40" s="9">
        <v>0.77083333333333337</v>
      </c>
      <c r="G40" s="8">
        <v>19240</v>
      </c>
      <c r="H40" s="75">
        <f t="shared" si="8"/>
        <v>3</v>
      </c>
      <c r="I40" s="41">
        <f t="shared" ref="I40:I62" si="12">I39+1</f>
        <v>38414</v>
      </c>
      <c r="J40" s="11">
        <v>0.77083333333333337</v>
      </c>
      <c r="K40" s="10">
        <v>19308</v>
      </c>
      <c r="L40" s="30">
        <f t="shared" si="9"/>
        <v>2</v>
      </c>
      <c r="M40" s="43">
        <f t="shared" ref="M40:M67" si="13">M39+1</f>
        <v>38445</v>
      </c>
      <c r="N40" s="13" t="s">
        <v>26</v>
      </c>
      <c r="O40" s="12">
        <v>19345</v>
      </c>
      <c r="P40" s="23">
        <f t="shared" si="10"/>
        <v>0</v>
      </c>
    </row>
    <row r="41" spans="1:16" x14ac:dyDescent="0.2">
      <c r="A41" s="1" t="s">
        <v>294</v>
      </c>
      <c r="B41" s="2">
        <f t="shared" si="7"/>
        <v>0</v>
      </c>
      <c r="C41" s="3">
        <v>0.17499999999999999</v>
      </c>
      <c r="D41" s="3">
        <f t="shared" si="6"/>
        <v>0</v>
      </c>
      <c r="E41" s="38">
        <f t="shared" si="11"/>
        <v>38387</v>
      </c>
      <c r="F41" s="9">
        <v>0.77083333333333337</v>
      </c>
      <c r="G41" s="8">
        <v>19242</v>
      </c>
      <c r="H41" s="75">
        <f t="shared" si="8"/>
        <v>2</v>
      </c>
      <c r="I41" s="41">
        <f t="shared" si="12"/>
        <v>38415</v>
      </c>
      <c r="J41" s="11">
        <v>0.77083333333333337</v>
      </c>
      <c r="K41" s="10">
        <v>19310</v>
      </c>
      <c r="L41" s="30">
        <f t="shared" si="9"/>
        <v>2</v>
      </c>
      <c r="M41" s="43">
        <f t="shared" si="13"/>
        <v>38446</v>
      </c>
      <c r="N41" s="13">
        <v>0.77083333333333337</v>
      </c>
      <c r="O41" s="12">
        <v>19345</v>
      </c>
      <c r="P41" s="23">
        <f t="shared" si="10"/>
        <v>0</v>
      </c>
    </row>
    <row r="42" spans="1:16" x14ac:dyDescent="0.2">
      <c r="A42" s="1" t="s">
        <v>323</v>
      </c>
      <c r="B42" s="2">
        <f ca="1">B28</f>
        <v>2530</v>
      </c>
      <c r="C42" s="70">
        <f>(B62+B63+B64)/365</f>
        <v>0.2233698630136986</v>
      </c>
      <c r="D42" s="3">
        <f t="shared" ca="1" si="6"/>
        <v>565.12575342465743</v>
      </c>
      <c r="E42" s="38">
        <f t="shared" si="11"/>
        <v>38388</v>
      </c>
      <c r="F42" s="9">
        <v>0.77083333333333337</v>
      </c>
      <c r="G42" s="8">
        <v>19244</v>
      </c>
      <c r="H42" s="75">
        <f t="shared" si="8"/>
        <v>2</v>
      </c>
      <c r="I42" s="41">
        <f t="shared" si="12"/>
        <v>38416</v>
      </c>
      <c r="J42" s="11" t="s">
        <v>25</v>
      </c>
      <c r="K42" s="10">
        <v>19310</v>
      </c>
      <c r="L42" s="30">
        <f t="shared" si="9"/>
        <v>0</v>
      </c>
      <c r="M42" s="43">
        <f t="shared" si="13"/>
        <v>38447</v>
      </c>
      <c r="N42" s="13">
        <v>0.77083333333333337</v>
      </c>
      <c r="O42" s="12">
        <v>19345</v>
      </c>
      <c r="P42" s="23">
        <f t="shared" si="10"/>
        <v>0</v>
      </c>
    </row>
    <row r="43" spans="1:16" x14ac:dyDescent="0.2">
      <c r="A43" s="1" t="s">
        <v>22</v>
      </c>
      <c r="B43" s="2">
        <f>B30</f>
        <v>0</v>
      </c>
      <c r="C43" s="3">
        <v>2.6554000000000001E-2</v>
      </c>
      <c r="D43" s="3">
        <f t="shared" ref="D43:D48" si="14">B43*C43</f>
        <v>0</v>
      </c>
      <c r="E43" s="38">
        <f t="shared" si="11"/>
        <v>38389</v>
      </c>
      <c r="F43" s="9" t="s">
        <v>25</v>
      </c>
      <c r="G43" s="8">
        <v>19244</v>
      </c>
      <c r="H43" s="75">
        <f t="shared" si="8"/>
        <v>0</v>
      </c>
      <c r="I43" s="41">
        <f t="shared" si="12"/>
        <v>38417</v>
      </c>
      <c r="J43" s="11" t="s">
        <v>26</v>
      </c>
      <c r="K43" s="10">
        <v>19310</v>
      </c>
      <c r="L43" s="30">
        <f t="shared" si="9"/>
        <v>0</v>
      </c>
      <c r="M43" s="43">
        <f t="shared" si="13"/>
        <v>38448</v>
      </c>
      <c r="N43" s="13">
        <v>0.77083333333333337</v>
      </c>
      <c r="O43" s="12">
        <v>19345</v>
      </c>
      <c r="P43" s="23">
        <f t="shared" si="10"/>
        <v>0</v>
      </c>
    </row>
    <row r="44" spans="1:16" x14ac:dyDescent="0.2">
      <c r="A44" s="1" t="s">
        <v>15</v>
      </c>
      <c r="B44" s="2">
        <f>B31</f>
        <v>0</v>
      </c>
      <c r="C44" s="3">
        <v>0.125357</v>
      </c>
      <c r="D44" s="3">
        <f t="shared" si="14"/>
        <v>0</v>
      </c>
      <c r="E44" s="38">
        <f t="shared" si="11"/>
        <v>38390</v>
      </c>
      <c r="F44" s="9" t="s">
        <v>26</v>
      </c>
      <c r="G44" s="8">
        <v>19244</v>
      </c>
      <c r="H44" s="75">
        <f t="shared" si="8"/>
        <v>0</v>
      </c>
      <c r="I44" s="41">
        <f t="shared" si="12"/>
        <v>38418</v>
      </c>
      <c r="J44" s="11">
        <v>0.77083333333333337</v>
      </c>
      <c r="K44" s="10">
        <v>19317</v>
      </c>
      <c r="L44" s="30">
        <f t="shared" si="9"/>
        <v>7</v>
      </c>
      <c r="M44" s="43">
        <f t="shared" si="13"/>
        <v>38449</v>
      </c>
      <c r="N44" s="13">
        <v>0.77083333333333337</v>
      </c>
      <c r="O44" s="12"/>
      <c r="P44" s="23" t="str">
        <f t="shared" si="10"/>
        <v/>
      </c>
    </row>
    <row r="45" spans="1:16" x14ac:dyDescent="0.2">
      <c r="A45" s="1" t="s">
        <v>17</v>
      </c>
      <c r="B45" s="2">
        <f>B32</f>
        <v>0</v>
      </c>
      <c r="C45" s="29">
        <v>0.104272</v>
      </c>
      <c r="D45" s="3">
        <f t="shared" si="14"/>
        <v>0</v>
      </c>
      <c r="E45" s="38">
        <f t="shared" si="11"/>
        <v>38391</v>
      </c>
      <c r="F45" s="9">
        <v>0.77083333333333337</v>
      </c>
      <c r="G45" s="8">
        <v>19244</v>
      </c>
      <c r="H45" s="75">
        <f t="shared" si="8"/>
        <v>0</v>
      </c>
      <c r="I45" s="41">
        <f t="shared" si="12"/>
        <v>38419</v>
      </c>
      <c r="J45" s="11">
        <v>0.77083333333333337</v>
      </c>
      <c r="K45" s="10">
        <v>19321</v>
      </c>
      <c r="L45" s="30">
        <f t="shared" si="9"/>
        <v>4</v>
      </c>
      <c r="M45" s="43">
        <f t="shared" si="13"/>
        <v>38450</v>
      </c>
      <c r="N45" s="13">
        <v>0.77083333333333337</v>
      </c>
      <c r="O45" s="12"/>
      <c r="P45" s="23" t="str">
        <f t="shared" si="10"/>
        <v/>
      </c>
    </row>
    <row r="46" spans="1:16" x14ac:dyDescent="0.2">
      <c r="A46" s="1" t="s">
        <v>314</v>
      </c>
      <c r="B46" s="104">
        <f>B30</f>
        <v>0</v>
      </c>
      <c r="C46" s="120">
        <f>B58</f>
        <v>4.3999999999999997E-2</v>
      </c>
      <c r="D46" s="3">
        <f t="shared" si="14"/>
        <v>0</v>
      </c>
      <c r="E46" s="38">
        <f t="shared" si="11"/>
        <v>38392</v>
      </c>
      <c r="F46" s="9">
        <v>0.77083333333333337</v>
      </c>
      <c r="G46" s="8">
        <v>19252</v>
      </c>
      <c r="H46" s="75">
        <f t="shared" si="8"/>
        <v>8</v>
      </c>
      <c r="I46" s="41">
        <f t="shared" si="12"/>
        <v>38420</v>
      </c>
      <c r="J46" s="11">
        <v>0.77083333333333337</v>
      </c>
      <c r="K46" s="10">
        <v>19325</v>
      </c>
      <c r="L46" s="30">
        <f t="shared" si="9"/>
        <v>4</v>
      </c>
      <c r="M46" s="43">
        <f t="shared" si="13"/>
        <v>38451</v>
      </c>
      <c r="N46" s="13">
        <v>0.77083333333333337</v>
      </c>
      <c r="O46" s="12"/>
      <c r="P46" s="23" t="str">
        <f t="shared" si="10"/>
        <v/>
      </c>
    </row>
    <row r="47" spans="1:16" x14ac:dyDescent="0.2">
      <c r="A47" s="1" t="s">
        <v>315</v>
      </c>
      <c r="B47" s="2">
        <f>B31</f>
        <v>0</v>
      </c>
      <c r="C47" s="3">
        <f>B59</f>
        <v>0.17499999999999999</v>
      </c>
      <c r="D47" s="3">
        <f t="shared" si="14"/>
        <v>0</v>
      </c>
      <c r="E47" s="38">
        <f t="shared" si="11"/>
        <v>38393</v>
      </c>
      <c r="F47" s="9">
        <v>0.77083333333333337</v>
      </c>
      <c r="G47" s="8">
        <v>19255</v>
      </c>
      <c r="H47" s="75">
        <f t="shared" si="8"/>
        <v>3</v>
      </c>
      <c r="I47" s="41">
        <f t="shared" si="12"/>
        <v>38421</v>
      </c>
      <c r="J47" s="11">
        <v>0.77083333333333337</v>
      </c>
      <c r="K47" s="10">
        <v>19327</v>
      </c>
      <c r="L47" s="30">
        <f t="shared" si="9"/>
        <v>2</v>
      </c>
      <c r="M47" s="43">
        <f t="shared" si="13"/>
        <v>38452</v>
      </c>
      <c r="N47" s="13">
        <v>0.77083333333333337</v>
      </c>
      <c r="O47" s="12"/>
      <c r="P47" s="23" t="str">
        <f t="shared" si="10"/>
        <v/>
      </c>
    </row>
    <row r="48" spans="1:16" x14ac:dyDescent="0.2">
      <c r="A48" s="1" t="s">
        <v>316</v>
      </c>
      <c r="B48" s="104">
        <f>B32</f>
        <v>0</v>
      </c>
      <c r="C48" s="120">
        <f>B60</f>
        <v>0.17</v>
      </c>
      <c r="D48" s="3">
        <f t="shared" si="14"/>
        <v>0</v>
      </c>
      <c r="E48" s="38">
        <f t="shared" si="11"/>
        <v>38394</v>
      </c>
      <c r="F48" s="9">
        <v>0.77083333333333337</v>
      </c>
      <c r="G48" s="8">
        <v>19258</v>
      </c>
      <c r="H48" s="75">
        <f t="shared" si="8"/>
        <v>3</v>
      </c>
      <c r="I48" s="41">
        <f t="shared" si="12"/>
        <v>38422</v>
      </c>
      <c r="J48" s="11">
        <v>0.77083333333333337</v>
      </c>
      <c r="K48" s="10">
        <v>19329</v>
      </c>
      <c r="L48" s="30">
        <f t="shared" si="9"/>
        <v>2</v>
      </c>
      <c r="M48" s="43">
        <f t="shared" si="13"/>
        <v>38453</v>
      </c>
      <c r="N48" s="13" t="s">
        <v>25</v>
      </c>
      <c r="O48" s="12"/>
      <c r="P48" s="23" t="str">
        <f t="shared" si="10"/>
        <v/>
      </c>
    </row>
    <row r="49" spans="1:16" x14ac:dyDescent="0.2">
      <c r="E49" s="38">
        <f t="shared" si="11"/>
        <v>38395</v>
      </c>
      <c r="F49" s="9">
        <v>0.77083333333333337</v>
      </c>
      <c r="G49" s="8">
        <v>19262</v>
      </c>
      <c r="H49" s="75">
        <f t="shared" si="8"/>
        <v>4</v>
      </c>
      <c r="I49" s="41">
        <f t="shared" si="12"/>
        <v>38423</v>
      </c>
      <c r="J49" s="11" t="s">
        <v>25</v>
      </c>
      <c r="K49" s="10">
        <v>19329</v>
      </c>
      <c r="L49" s="30">
        <f t="shared" si="9"/>
        <v>0</v>
      </c>
      <c r="M49" s="43">
        <f t="shared" si="13"/>
        <v>38454</v>
      </c>
      <c r="N49" s="13" t="s">
        <v>26</v>
      </c>
      <c r="O49" s="12"/>
      <c r="P49" s="23" t="str">
        <f t="shared" si="10"/>
        <v/>
      </c>
    </row>
    <row r="50" spans="1:16" x14ac:dyDescent="0.2">
      <c r="E50" s="38">
        <f t="shared" si="11"/>
        <v>38396</v>
      </c>
      <c r="F50" s="9" t="s">
        <v>25</v>
      </c>
      <c r="G50" s="8">
        <v>19262</v>
      </c>
      <c r="H50" s="75">
        <f t="shared" si="8"/>
        <v>0</v>
      </c>
      <c r="I50" s="41">
        <f t="shared" si="12"/>
        <v>38424</v>
      </c>
      <c r="J50" s="11" t="s">
        <v>26</v>
      </c>
      <c r="K50" s="10">
        <v>19329</v>
      </c>
      <c r="L50" s="30">
        <f t="shared" si="9"/>
        <v>0</v>
      </c>
      <c r="M50" s="43">
        <f t="shared" si="13"/>
        <v>38455</v>
      </c>
      <c r="N50" s="13">
        <v>0.77083333333333337</v>
      </c>
      <c r="O50" s="12"/>
      <c r="P50" s="23" t="str">
        <f t="shared" si="10"/>
        <v/>
      </c>
    </row>
    <row r="51" spans="1:16" x14ac:dyDescent="0.2">
      <c r="A51" s="1" t="s">
        <v>96</v>
      </c>
      <c r="B51" s="2"/>
      <c r="C51" s="3"/>
      <c r="D51" s="55">
        <f>(SUM(D30:D31)+SUM(D33:D34)+SUM(D36:D37)+SUM(D39:D40)+SUM(D43+D44+D46+D47))*1.1</f>
        <v>0</v>
      </c>
      <c r="E51" s="38">
        <f t="shared" si="11"/>
        <v>38397</v>
      </c>
      <c r="F51" s="9" t="s">
        <v>26</v>
      </c>
      <c r="G51" s="8">
        <v>19262</v>
      </c>
      <c r="H51" s="75">
        <f t="shared" si="8"/>
        <v>0</v>
      </c>
      <c r="I51" s="41">
        <f t="shared" si="12"/>
        <v>38425</v>
      </c>
      <c r="J51" s="11">
        <v>0.77083333333333337</v>
      </c>
      <c r="K51" s="10">
        <v>19332</v>
      </c>
      <c r="L51" s="30">
        <f t="shared" si="9"/>
        <v>3</v>
      </c>
      <c r="M51" s="43">
        <f t="shared" si="13"/>
        <v>38456</v>
      </c>
      <c r="N51" s="13">
        <v>0.77083333333333337</v>
      </c>
      <c r="O51" s="12"/>
      <c r="P51" s="23" t="str">
        <f t="shared" si="10"/>
        <v/>
      </c>
    </row>
    <row r="52" spans="1:16" x14ac:dyDescent="0.2">
      <c r="A52" s="1" t="s">
        <v>264</v>
      </c>
      <c r="D52" s="55">
        <f ca="1">(SUM(D32+D35+D38+D41+D42+D45+D48))*1.22</f>
        <v>689.45341917808207</v>
      </c>
      <c r="E52" s="38">
        <f t="shared" si="11"/>
        <v>38398</v>
      </c>
      <c r="F52" s="9">
        <v>0.77083333333333337</v>
      </c>
      <c r="G52" s="8">
        <v>19269</v>
      </c>
      <c r="H52" s="75">
        <f t="shared" si="8"/>
        <v>7</v>
      </c>
      <c r="I52" s="41">
        <f t="shared" si="12"/>
        <v>38426</v>
      </c>
      <c r="J52" s="11">
        <v>0.77083333333333337</v>
      </c>
      <c r="K52" s="10">
        <v>19334</v>
      </c>
      <c r="L52" s="30">
        <f t="shared" si="9"/>
        <v>2</v>
      </c>
      <c r="M52" s="43">
        <f t="shared" si="13"/>
        <v>38457</v>
      </c>
      <c r="N52" s="13">
        <v>0.77083333333333337</v>
      </c>
      <c r="O52" s="12"/>
      <c r="P52" s="23" t="str">
        <f t="shared" si="10"/>
        <v/>
      </c>
    </row>
    <row r="53" spans="1:16" x14ac:dyDescent="0.2">
      <c r="A53" s="1"/>
      <c r="B53" s="2"/>
      <c r="C53" s="3"/>
      <c r="D53" s="3"/>
      <c r="E53" s="38">
        <f t="shared" si="11"/>
        <v>38399</v>
      </c>
      <c r="F53" s="9">
        <v>0.77083333333333337</v>
      </c>
      <c r="G53" s="8">
        <v>19273</v>
      </c>
      <c r="H53" s="75">
        <f t="shared" si="8"/>
        <v>4</v>
      </c>
      <c r="I53" s="41">
        <f t="shared" si="12"/>
        <v>38427</v>
      </c>
      <c r="J53" s="11">
        <v>0.77083333333333337</v>
      </c>
      <c r="K53" s="10">
        <v>19337</v>
      </c>
      <c r="L53" s="30">
        <f t="shared" si="9"/>
        <v>3</v>
      </c>
      <c r="M53" s="43">
        <f t="shared" si="13"/>
        <v>38458</v>
      </c>
      <c r="N53" s="13">
        <v>0.77083333333333337</v>
      </c>
      <c r="O53" s="12"/>
      <c r="P53" s="23" t="str">
        <f t="shared" si="10"/>
        <v/>
      </c>
    </row>
    <row r="54" spans="1:16" x14ac:dyDescent="0.2">
      <c r="A54" s="1" t="s">
        <v>298</v>
      </c>
      <c r="B54" s="26">
        <v>0.26561800000000002</v>
      </c>
      <c r="C54" s="65"/>
      <c r="D54" s="26"/>
      <c r="E54" s="38">
        <f t="shared" si="11"/>
        <v>38400</v>
      </c>
      <c r="F54" s="9">
        <v>0.77083333333333337</v>
      </c>
      <c r="G54" s="8">
        <v>19276</v>
      </c>
      <c r="H54" s="75">
        <f t="shared" si="8"/>
        <v>3</v>
      </c>
      <c r="I54" s="41">
        <f t="shared" si="12"/>
        <v>38428</v>
      </c>
      <c r="J54" s="11">
        <v>0.77083333333333337</v>
      </c>
      <c r="K54" s="10">
        <v>19338</v>
      </c>
      <c r="L54" s="30">
        <f t="shared" si="9"/>
        <v>1</v>
      </c>
      <c r="M54" s="43">
        <f t="shared" si="13"/>
        <v>38459</v>
      </c>
      <c r="N54" s="13">
        <v>0.77083333333333337</v>
      </c>
      <c r="O54" s="12"/>
      <c r="P54" s="23" t="str">
        <f t="shared" si="10"/>
        <v/>
      </c>
    </row>
    <row r="55" spans="1:16" x14ac:dyDescent="0.2">
      <c r="A55" s="1" t="s">
        <v>299</v>
      </c>
      <c r="B55" s="26">
        <v>0.26561800000000002</v>
      </c>
      <c r="C55" s="65"/>
      <c r="D55" s="3"/>
      <c r="E55" s="38">
        <f t="shared" si="11"/>
        <v>38401</v>
      </c>
      <c r="F55" s="9">
        <v>0.77083333333333337</v>
      </c>
      <c r="G55" s="8">
        <v>19279</v>
      </c>
      <c r="H55" s="75">
        <f t="shared" si="8"/>
        <v>3</v>
      </c>
      <c r="I55" s="41">
        <f t="shared" si="12"/>
        <v>38429</v>
      </c>
      <c r="J55" s="11">
        <v>0.77083333333333337</v>
      </c>
      <c r="K55" s="10">
        <v>19340</v>
      </c>
      <c r="L55" s="30">
        <f t="shared" si="9"/>
        <v>2</v>
      </c>
      <c r="M55" s="43">
        <f t="shared" si="13"/>
        <v>38460</v>
      </c>
      <c r="N55" s="13" t="s">
        <v>25</v>
      </c>
      <c r="O55" s="12"/>
      <c r="P55" s="23" t="str">
        <f t="shared" si="10"/>
        <v/>
      </c>
    </row>
    <row r="56" spans="1:16" x14ac:dyDescent="0.2">
      <c r="A56" s="1" t="s">
        <v>300</v>
      </c>
      <c r="B56" s="26">
        <v>0.26561800000000002</v>
      </c>
      <c r="C56" s="65"/>
      <c r="D56" s="3"/>
      <c r="E56" s="38">
        <f t="shared" si="11"/>
        <v>38402</v>
      </c>
      <c r="F56" s="9">
        <v>0.77083333333333337</v>
      </c>
      <c r="G56" s="8">
        <v>19282</v>
      </c>
      <c r="H56" s="75">
        <f t="shared" si="8"/>
        <v>3</v>
      </c>
      <c r="I56" s="41">
        <f t="shared" si="12"/>
        <v>38430</v>
      </c>
      <c r="J56" s="11" t="s">
        <v>25</v>
      </c>
      <c r="K56" s="10">
        <v>19340</v>
      </c>
      <c r="L56" s="30">
        <f t="shared" si="9"/>
        <v>0</v>
      </c>
      <c r="M56" s="43">
        <f t="shared" si="13"/>
        <v>38461</v>
      </c>
      <c r="N56" s="13" t="s">
        <v>26</v>
      </c>
      <c r="O56" s="12"/>
      <c r="P56" s="23" t="str">
        <f t="shared" si="10"/>
        <v/>
      </c>
    </row>
    <row r="57" spans="1:16" x14ac:dyDescent="0.2">
      <c r="A57" s="1"/>
      <c r="B57" s="2"/>
      <c r="C57" s="3"/>
      <c r="D57" s="3"/>
      <c r="E57" s="38">
        <f t="shared" si="11"/>
        <v>38403</v>
      </c>
      <c r="F57" s="9" t="s">
        <v>25</v>
      </c>
      <c r="G57" s="8">
        <v>19282</v>
      </c>
      <c r="H57" s="75">
        <f t="shared" si="8"/>
        <v>0</v>
      </c>
      <c r="I57" s="41">
        <f t="shared" si="12"/>
        <v>38431</v>
      </c>
      <c r="J57" s="11" t="s">
        <v>26</v>
      </c>
      <c r="K57" s="10">
        <v>19340</v>
      </c>
      <c r="L57" s="30">
        <f t="shared" si="9"/>
        <v>0</v>
      </c>
      <c r="M57" s="43">
        <f t="shared" si="13"/>
        <v>38462</v>
      </c>
      <c r="N57" s="13">
        <v>0.77083333333333337</v>
      </c>
      <c r="O57" s="12"/>
      <c r="P57" s="23" t="str">
        <f t="shared" si="10"/>
        <v/>
      </c>
    </row>
    <row r="58" spans="1:16" x14ac:dyDescent="0.2">
      <c r="A58" s="1" t="s">
        <v>306</v>
      </c>
      <c r="B58" s="26">
        <v>4.3999999999999997E-2</v>
      </c>
      <c r="C58" s="3"/>
      <c r="D58" s="3"/>
      <c r="E58" s="38">
        <f t="shared" si="11"/>
        <v>38404</v>
      </c>
      <c r="F58" s="9" t="s">
        <v>26</v>
      </c>
      <c r="G58" s="8">
        <v>19282</v>
      </c>
      <c r="H58" s="75">
        <f t="shared" si="8"/>
        <v>0</v>
      </c>
      <c r="I58" s="41">
        <f t="shared" si="12"/>
        <v>38432</v>
      </c>
      <c r="J58" s="11">
        <v>0.77083333333333337</v>
      </c>
      <c r="K58" s="10">
        <v>19341</v>
      </c>
      <c r="L58" s="30">
        <f t="shared" si="9"/>
        <v>1</v>
      </c>
      <c r="M58" s="43">
        <f t="shared" si="13"/>
        <v>38463</v>
      </c>
      <c r="N58" s="13">
        <v>0.77083333333333337</v>
      </c>
      <c r="O58" s="12"/>
      <c r="P58" s="23" t="str">
        <f t="shared" si="10"/>
        <v/>
      </c>
    </row>
    <row r="59" spans="1:16" x14ac:dyDescent="0.2">
      <c r="A59" s="1" t="s">
        <v>304</v>
      </c>
      <c r="B59" s="26">
        <v>0.17499999999999999</v>
      </c>
      <c r="C59" s="3"/>
      <c r="D59" s="3"/>
      <c r="E59" s="38">
        <f t="shared" si="11"/>
        <v>38405</v>
      </c>
      <c r="F59" s="9">
        <v>0.77083333333333337</v>
      </c>
      <c r="G59" s="8">
        <v>19286</v>
      </c>
      <c r="H59" s="75">
        <f t="shared" si="8"/>
        <v>4</v>
      </c>
      <c r="I59" s="41">
        <f t="shared" si="12"/>
        <v>38433</v>
      </c>
      <c r="J59" s="11">
        <v>0.77083333333333337</v>
      </c>
      <c r="K59" s="10">
        <v>19342</v>
      </c>
      <c r="L59" s="30">
        <f t="shared" si="9"/>
        <v>1</v>
      </c>
      <c r="M59" s="43">
        <f t="shared" si="13"/>
        <v>38464</v>
      </c>
      <c r="N59" s="13">
        <v>0.77083333333333337</v>
      </c>
      <c r="O59" s="12"/>
      <c r="P59" s="23" t="str">
        <f t="shared" si="10"/>
        <v/>
      </c>
    </row>
    <row r="60" spans="1:16" x14ac:dyDescent="0.2">
      <c r="A60" s="1" t="s">
        <v>305</v>
      </c>
      <c r="B60" s="26">
        <v>0.17</v>
      </c>
      <c r="C60" s="3"/>
      <c r="D60" s="3"/>
      <c r="E60" s="38">
        <f t="shared" si="11"/>
        <v>38406</v>
      </c>
      <c r="F60" s="9">
        <v>0.77083333333333337</v>
      </c>
      <c r="G60" s="8">
        <v>19288</v>
      </c>
      <c r="H60" s="75">
        <f t="shared" si="8"/>
        <v>2</v>
      </c>
      <c r="I60" s="41">
        <f t="shared" si="12"/>
        <v>38434</v>
      </c>
      <c r="J60" s="11">
        <v>0.77083333333333337</v>
      </c>
      <c r="K60" s="10">
        <v>19342</v>
      </c>
      <c r="L60" s="30">
        <f t="shared" si="9"/>
        <v>0</v>
      </c>
      <c r="M60" s="43">
        <f t="shared" si="13"/>
        <v>38465</v>
      </c>
      <c r="N60" s="13">
        <v>0.77083333333333337</v>
      </c>
      <c r="O60" s="12"/>
      <c r="P60" s="23" t="str">
        <f t="shared" si="10"/>
        <v/>
      </c>
    </row>
    <row r="61" spans="1:16" x14ac:dyDescent="0.2">
      <c r="A61" s="1"/>
      <c r="B61" s="2"/>
      <c r="C61" s="3"/>
      <c r="D61" s="3"/>
      <c r="E61" s="38">
        <f t="shared" si="11"/>
        <v>38407</v>
      </c>
      <c r="F61" s="9">
        <v>0.77083333333333337</v>
      </c>
      <c r="G61" s="8">
        <v>19290</v>
      </c>
      <c r="H61" s="75">
        <f t="shared" si="8"/>
        <v>2</v>
      </c>
      <c r="I61" s="41">
        <f t="shared" si="12"/>
        <v>38435</v>
      </c>
      <c r="J61" s="11">
        <v>0.77083333333333337</v>
      </c>
      <c r="K61" s="10">
        <v>19343</v>
      </c>
      <c r="L61" s="30">
        <f t="shared" si="9"/>
        <v>1</v>
      </c>
      <c r="M61" s="43">
        <f t="shared" si="13"/>
        <v>38466</v>
      </c>
      <c r="N61" s="13">
        <v>0.77083333333333337</v>
      </c>
      <c r="O61" s="12"/>
      <c r="P61" s="23" t="str">
        <f t="shared" si="10"/>
        <v/>
      </c>
    </row>
    <row r="62" spans="1:16" x14ac:dyDescent="0.2">
      <c r="A62" s="1" t="s">
        <v>90</v>
      </c>
      <c r="B62" s="26">
        <v>51.19</v>
      </c>
      <c r="C62" s="3" t="s">
        <v>86</v>
      </c>
      <c r="D62" s="3"/>
      <c r="E62" s="38">
        <f t="shared" si="11"/>
        <v>38408</v>
      </c>
      <c r="F62" s="9">
        <v>0.77083333333333337</v>
      </c>
      <c r="G62" s="8">
        <v>19293</v>
      </c>
      <c r="H62" s="75">
        <f t="shared" si="8"/>
        <v>3</v>
      </c>
      <c r="I62" s="41">
        <f t="shared" si="12"/>
        <v>38436</v>
      </c>
      <c r="J62" s="11">
        <v>0.77083333333333337</v>
      </c>
      <c r="K62" s="10">
        <v>19343</v>
      </c>
      <c r="L62" s="30">
        <f t="shared" si="9"/>
        <v>0</v>
      </c>
      <c r="M62" s="43">
        <f t="shared" si="13"/>
        <v>38467</v>
      </c>
      <c r="N62" s="13" t="s">
        <v>25</v>
      </c>
      <c r="O62" s="12"/>
      <c r="P62" s="23" t="str">
        <f t="shared" si="10"/>
        <v/>
      </c>
    </row>
    <row r="63" spans="1:16" x14ac:dyDescent="0.2">
      <c r="A63" s="1" t="s">
        <v>54</v>
      </c>
      <c r="B63" s="26">
        <v>57.35</v>
      </c>
      <c r="C63" s="3" t="s">
        <v>86</v>
      </c>
      <c r="D63" s="3"/>
      <c r="E63" s="38">
        <v>38774</v>
      </c>
      <c r="F63" s="9">
        <v>0.77083333333333337</v>
      </c>
      <c r="G63" s="8">
        <v>19296</v>
      </c>
      <c r="H63" s="75">
        <f>IF(AND(H62&lt;&gt;"",G63&lt;&gt;""),G63-G62,"")</f>
        <v>3</v>
      </c>
      <c r="I63" s="41">
        <v>38802</v>
      </c>
      <c r="J63" s="11" t="s">
        <v>25</v>
      </c>
      <c r="K63" s="10">
        <v>19343</v>
      </c>
      <c r="L63" s="30">
        <f t="shared" si="9"/>
        <v>0</v>
      </c>
      <c r="M63" s="43">
        <f t="shared" si="13"/>
        <v>38468</v>
      </c>
      <c r="N63" s="13" t="s">
        <v>26</v>
      </c>
      <c r="O63" s="12"/>
      <c r="P63" s="23" t="str">
        <f t="shared" si="10"/>
        <v/>
      </c>
    </row>
    <row r="64" spans="1:16" x14ac:dyDescent="0.2">
      <c r="A64" s="1" t="s">
        <v>89</v>
      </c>
      <c r="B64" s="26">
        <v>-27.01</v>
      </c>
      <c r="C64" s="3" t="s">
        <v>86</v>
      </c>
      <c r="D64" s="3"/>
      <c r="E64" s="38">
        <v>38775</v>
      </c>
      <c r="F64" s="9" t="s">
        <v>25</v>
      </c>
      <c r="G64" s="8">
        <v>19296</v>
      </c>
      <c r="H64" s="75">
        <f>IF(AND(H63&lt;&gt;"",G64&lt;&gt;""),G64-G63,"")</f>
        <v>0</v>
      </c>
      <c r="I64" s="41">
        <v>38803</v>
      </c>
      <c r="J64" s="11" t="s">
        <v>52</v>
      </c>
      <c r="K64" s="10">
        <v>19343</v>
      </c>
      <c r="L64" s="30">
        <f t="shared" si="9"/>
        <v>0</v>
      </c>
      <c r="M64" s="43">
        <f t="shared" si="13"/>
        <v>38469</v>
      </c>
      <c r="N64" s="13">
        <v>0.77083333333333337</v>
      </c>
      <c r="O64" s="12"/>
      <c r="P64" s="23" t="str">
        <f t="shared" si="10"/>
        <v/>
      </c>
    </row>
    <row r="65" spans="1:16" x14ac:dyDescent="0.2">
      <c r="A65" s="1" t="s">
        <v>91</v>
      </c>
      <c r="B65" s="26">
        <v>0</v>
      </c>
      <c r="C65" s="3" t="s">
        <v>86</v>
      </c>
      <c r="D65" s="3"/>
      <c r="E65" s="38">
        <v>38776</v>
      </c>
      <c r="F65" s="9" t="s">
        <v>26</v>
      </c>
      <c r="G65" s="8">
        <v>19296</v>
      </c>
      <c r="H65" s="75">
        <f>IF(AND(H64&lt;&gt;"",G65&lt;&gt;""),G65-G64,"")</f>
        <v>0</v>
      </c>
      <c r="I65" s="41">
        <v>38804</v>
      </c>
      <c r="J65" s="11" t="s">
        <v>72</v>
      </c>
      <c r="K65" s="10">
        <v>19343</v>
      </c>
      <c r="L65" s="30">
        <f t="shared" si="9"/>
        <v>0</v>
      </c>
      <c r="M65" s="43">
        <f t="shared" si="13"/>
        <v>38470</v>
      </c>
      <c r="N65" s="13">
        <v>0.77083333333333337</v>
      </c>
      <c r="O65" s="12"/>
      <c r="P65" s="23" t="str">
        <f t="shared" si="10"/>
        <v/>
      </c>
    </row>
    <row r="66" spans="1:16" x14ac:dyDescent="0.2">
      <c r="A66" s="1"/>
      <c r="B66" s="2"/>
      <c r="C66" s="3"/>
      <c r="D66" s="3"/>
      <c r="E66" s="38" t="s">
        <v>204</v>
      </c>
      <c r="F66" s="9" t="s">
        <v>290</v>
      </c>
      <c r="G66" s="107">
        <v>19302</v>
      </c>
      <c r="H66" s="75">
        <f>IF(AND(H65&lt;&gt;"",G66&lt;&gt;""),G66-G65,"")</f>
        <v>6</v>
      </c>
      <c r="I66" s="41">
        <v>38805</v>
      </c>
      <c r="J66" s="11" t="s">
        <v>290</v>
      </c>
      <c r="K66" s="10">
        <v>19345</v>
      </c>
      <c r="L66" s="30">
        <f t="shared" si="9"/>
        <v>2</v>
      </c>
      <c r="M66" s="43">
        <f t="shared" si="13"/>
        <v>38471</v>
      </c>
      <c r="N66" s="13">
        <v>0.77083333333333337</v>
      </c>
      <c r="O66" s="12"/>
      <c r="P66" s="23" t="str">
        <f t="shared" si="10"/>
        <v/>
      </c>
    </row>
    <row r="67" spans="1:16" x14ac:dyDescent="0.2">
      <c r="A67" s="1" t="s">
        <v>100</v>
      </c>
      <c r="B67" s="71">
        <f>SUM(B62:B65)</f>
        <v>81.529999999999987</v>
      </c>
      <c r="C67" s="3" t="s">
        <v>86</v>
      </c>
      <c r="E67" s="38"/>
      <c r="F67" s="8"/>
      <c r="G67" s="8"/>
      <c r="H67" s="75" t="str">
        <f>IF(AND(H61&lt;&gt;"",G67&lt;&gt;""),G67-G61,"")</f>
        <v/>
      </c>
      <c r="I67" s="41">
        <v>38806</v>
      </c>
      <c r="J67" s="11">
        <v>0.77083333333333337</v>
      </c>
      <c r="K67" s="10">
        <v>19345</v>
      </c>
      <c r="L67" s="30">
        <f t="shared" si="9"/>
        <v>0</v>
      </c>
      <c r="M67" s="43">
        <f t="shared" si="13"/>
        <v>38472</v>
      </c>
      <c r="N67" s="13">
        <v>0.77083333333333337</v>
      </c>
      <c r="O67" s="12"/>
      <c r="P67" s="23" t="str">
        <f t="shared" si="10"/>
        <v/>
      </c>
    </row>
    <row r="68" spans="1:16" x14ac:dyDescent="0.2">
      <c r="A68" s="1" t="s">
        <v>194</v>
      </c>
      <c r="B68" s="102">
        <v>1.0213190000000001</v>
      </c>
      <c r="E68" s="38"/>
      <c r="F68" s="8"/>
      <c r="G68" s="8"/>
      <c r="H68" s="75" t="str">
        <f>IF(AND(H62&lt;&gt;"",G68&lt;&gt;""),G68-G62,"")</f>
        <v/>
      </c>
      <c r="I68" s="41">
        <v>38807</v>
      </c>
      <c r="J68" s="11">
        <v>0.77083333333333337</v>
      </c>
      <c r="K68" s="10">
        <v>19345</v>
      </c>
      <c r="L68" s="30">
        <f t="shared" si="9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9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>
      <c r="A70" s="72" t="s">
        <v>24</v>
      </c>
      <c r="B70" s="55">
        <f ca="1">B2</f>
        <v>689.45341917808207</v>
      </c>
    </row>
  </sheetData>
  <mergeCells count="5">
    <mergeCell ref="C5:D5"/>
    <mergeCell ref="C6:D6"/>
    <mergeCell ref="C7:D7"/>
    <mergeCell ref="C8:D8"/>
    <mergeCell ref="C9:D9"/>
  </mergeCells>
  <conditionalFormatting sqref="P4">
    <cfRule type="cellIs" dxfId="49" priority="14" stopIfTrue="1" operator="lessThan">
      <formula>0</formula>
    </cfRule>
    <cfRule type="cellIs" dxfId="48" priority="15" stopIfTrue="1" operator="lessThan">
      <formula>0</formula>
    </cfRule>
  </conditionalFormatting>
  <conditionalFormatting sqref="L38">
    <cfRule type="cellIs" dxfId="47" priority="13" stopIfTrue="1" operator="lessThan">
      <formula>0</formula>
    </cfRule>
  </conditionalFormatting>
  <conditionalFormatting sqref="H38">
    <cfRule type="cellIs" dxfId="46" priority="12" stopIfTrue="1" operator="lessThan">
      <formula>0</formula>
    </cfRule>
  </conditionalFormatting>
  <conditionalFormatting sqref="P38">
    <cfRule type="cellIs" dxfId="45" priority="11" stopIfTrue="1" operator="lessThan">
      <formula>0</formula>
    </cfRule>
  </conditionalFormatting>
  <conditionalFormatting sqref="B28">
    <cfRule type="cellIs" dxfId="44" priority="10" stopIfTrue="1" operator="greaterThan">
      <formula>366</formula>
    </cfRule>
  </conditionalFormatting>
  <conditionalFormatting sqref="B43:B45 B30:B41">
    <cfRule type="cellIs" dxfId="43" priority="8" stopIfTrue="1" operator="greaterThan">
      <formula>366</formula>
    </cfRule>
    <cfRule type="cellIs" dxfId="42" priority="9" stopIfTrue="1" operator="greaterThan">
      <formula>40472</formula>
    </cfRule>
  </conditionalFormatting>
  <conditionalFormatting sqref="B2">
    <cfRule type="containsText" dxfId="41" priority="7" stopIfTrue="1" operator="containsText" text="#VALORE!">
      <formula>NOT(ISERROR(SEARCH("#VALORE!",B2)))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C13" sqref="C13"/>
    </sheetView>
  </sheetViews>
  <sheetFormatPr defaultRowHeight="12.75" x14ac:dyDescent="0.2"/>
  <cols>
    <col min="1" max="1" width="25.140625" bestFit="1" customWidth="1"/>
    <col min="2" max="2" width="9.7109375" customWidth="1"/>
    <col min="3" max="3" width="8.42578125" bestFit="1" customWidth="1"/>
    <col min="4" max="4" width="10.42578125" bestFit="1" customWidth="1"/>
    <col min="5" max="5" width="9.28515625" bestFit="1" customWidth="1"/>
    <col min="6" max="6" width="5.5703125" bestFit="1" customWidth="1"/>
    <col min="7" max="7" width="6.7109375" bestFit="1" customWidth="1"/>
    <col min="8" max="8" width="4.28515625" bestFit="1" customWidth="1"/>
    <col min="9" max="9" width="8.7109375" bestFit="1" customWidth="1"/>
    <col min="10" max="10" width="5.5703125" bestFit="1" customWidth="1"/>
    <col min="11" max="11" width="6.7109375" bestFit="1" customWidth="1"/>
    <col min="12" max="12" width="4.28515625" customWidth="1"/>
    <col min="13" max="13" width="7.5703125" bestFit="1" customWidth="1"/>
    <col min="14" max="14" width="5.5703125" bestFit="1" customWidth="1"/>
    <col min="15" max="15" width="6.7109375" bestFit="1" customWidth="1"/>
    <col min="16" max="16" width="4.28515625" bestFit="1" customWidth="1"/>
  </cols>
  <sheetData>
    <row r="1" spans="1:16" ht="13.5" thickBot="1" x14ac:dyDescent="0.25"/>
    <row r="2" spans="1:16" ht="13.5" thickTop="1" x14ac:dyDescent="0.2">
      <c r="A2" s="1" t="s">
        <v>24</v>
      </c>
      <c r="B2" s="55">
        <f ca="1">IF(D48="",D49,D48+D49)</f>
        <v>869.20226958904107</v>
      </c>
      <c r="C2" s="3"/>
      <c r="D2" s="3"/>
      <c r="E2" s="37" t="s">
        <v>19</v>
      </c>
      <c r="F2" s="19" t="s">
        <v>10</v>
      </c>
      <c r="G2" s="19" t="s">
        <v>9</v>
      </c>
      <c r="H2" s="74" t="s">
        <v>11</v>
      </c>
      <c r="I2" s="45" t="s">
        <v>20</v>
      </c>
      <c r="J2" s="35" t="s">
        <v>10</v>
      </c>
      <c r="K2" s="20" t="s">
        <v>9</v>
      </c>
      <c r="L2" s="50" t="s">
        <v>11</v>
      </c>
      <c r="M2" s="48" t="s">
        <v>12</v>
      </c>
      <c r="N2" s="21" t="s">
        <v>10</v>
      </c>
      <c r="O2" s="21" t="s">
        <v>9</v>
      </c>
      <c r="P2" s="22" t="s">
        <v>11</v>
      </c>
    </row>
    <row r="3" spans="1:16" x14ac:dyDescent="0.2">
      <c r="A3" s="1" t="s">
        <v>270</v>
      </c>
      <c r="B3" s="26"/>
      <c r="C3" s="3"/>
      <c r="D3" s="3"/>
      <c r="E3" s="38"/>
      <c r="F3" s="8"/>
      <c r="G3" s="8"/>
      <c r="H3" s="75"/>
      <c r="I3" s="46"/>
      <c r="J3" s="11"/>
      <c r="K3" s="10"/>
      <c r="L3" s="30"/>
      <c r="M3" s="49"/>
      <c r="N3" s="12"/>
      <c r="O3" s="12"/>
      <c r="P3" s="23"/>
    </row>
    <row r="4" spans="1:16" x14ac:dyDescent="0.2">
      <c r="A4" s="1"/>
      <c r="B4" s="2"/>
      <c r="C4" s="3"/>
      <c r="D4" s="3"/>
      <c r="E4" s="38">
        <v>39387</v>
      </c>
      <c r="F4" s="9">
        <v>0.77083333333333337</v>
      </c>
      <c r="G4" s="8">
        <v>18510</v>
      </c>
      <c r="H4" s="76">
        <f>IF(G4-B16&lt;0,0,0)</f>
        <v>0</v>
      </c>
      <c r="I4" s="46">
        <v>38687</v>
      </c>
      <c r="J4" s="11">
        <v>0.77083333333333337</v>
      </c>
      <c r="K4" s="10">
        <v>18551</v>
      </c>
      <c r="L4" s="30">
        <f>IF(AND(H35&lt;&gt;"",K4&lt;&gt;""),K4-K3,K4-MAX(G4:G35))</f>
        <v>5</v>
      </c>
      <c r="M4" s="43">
        <v>38353</v>
      </c>
      <c r="N4" s="13" t="s">
        <v>33</v>
      </c>
      <c r="O4" s="12">
        <v>18665</v>
      </c>
      <c r="P4" s="23">
        <f>IF(AND(L35&lt;&gt;"",O4&lt;&gt;""),O4-O3,O4-MAX(K4:K34))</f>
        <v>0</v>
      </c>
    </row>
    <row r="5" spans="1:16" x14ac:dyDescent="0.2">
      <c r="A5" s="1" t="s">
        <v>283</v>
      </c>
      <c r="B5" s="26">
        <v>48.24</v>
      </c>
      <c r="C5" s="131" t="s">
        <v>284</v>
      </c>
      <c r="D5" s="132"/>
      <c r="E5" s="38">
        <f>E4+1</f>
        <v>39388</v>
      </c>
      <c r="F5" s="9">
        <v>0.77083333333333337</v>
      </c>
      <c r="G5" s="8">
        <v>18510</v>
      </c>
      <c r="H5" s="75">
        <f t="shared" ref="H5:H35" si="0">IF(AND(H4&lt;&gt;"",G5&lt;&gt;""),G5-G4,"")</f>
        <v>0</v>
      </c>
      <c r="I5" s="41">
        <f>I4+1</f>
        <v>38688</v>
      </c>
      <c r="J5" s="11">
        <v>0.77083333333333337</v>
      </c>
      <c r="K5" s="10">
        <v>18553</v>
      </c>
      <c r="L5" s="30">
        <f>IF(AND(L4&lt;&gt;"",K5&lt;&gt;""),K5-K4,"")</f>
        <v>2</v>
      </c>
      <c r="M5" s="43">
        <f>M4+1</f>
        <v>38354</v>
      </c>
      <c r="N5" s="13">
        <v>0.77083333333333337</v>
      </c>
      <c r="O5" s="12">
        <v>18673</v>
      </c>
      <c r="P5" s="23">
        <f>IF(AND(P4&lt;&gt;"",O5&lt;&gt;""),O5-O4,"")</f>
        <v>8</v>
      </c>
    </row>
    <row r="6" spans="1:16" x14ac:dyDescent="0.2">
      <c r="A6" s="1" t="s">
        <v>285</v>
      </c>
      <c r="B6" s="26">
        <v>70.88</v>
      </c>
      <c r="C6" s="131" t="s">
        <v>284</v>
      </c>
      <c r="D6" s="132"/>
      <c r="E6" s="38">
        <f t="shared" ref="E6:E33" si="1">E5+1</f>
        <v>39389</v>
      </c>
      <c r="F6" s="9">
        <v>0.77083333333333337</v>
      </c>
      <c r="G6" s="8">
        <v>18510</v>
      </c>
      <c r="H6" s="75">
        <f t="shared" si="0"/>
        <v>0</v>
      </c>
      <c r="I6" s="41">
        <f t="shared" ref="I6:I29" si="2">I5+1</f>
        <v>38689</v>
      </c>
      <c r="J6" s="11">
        <v>0.77083333333333337</v>
      </c>
      <c r="K6" s="10">
        <v>18556</v>
      </c>
      <c r="L6" s="30">
        <f>IF(AND(L5&lt;&gt;"",K6&lt;&gt;""),K6-K5,"")</f>
        <v>3</v>
      </c>
      <c r="M6" s="43">
        <f t="shared" ref="M6:M29" si="3">M5+1</f>
        <v>38355</v>
      </c>
      <c r="N6" s="13" t="s">
        <v>25</v>
      </c>
      <c r="O6" s="12">
        <v>18673</v>
      </c>
      <c r="P6" s="23">
        <f t="shared" ref="P6:P35" si="4">IF(AND(P5&lt;&gt;"",O6&lt;&gt;""),O6-O5,"")</f>
        <v>0</v>
      </c>
    </row>
    <row r="7" spans="1:16" x14ac:dyDescent="0.2">
      <c r="A7" s="1" t="s">
        <v>286</v>
      </c>
      <c r="B7" s="26">
        <v>73.400000000000006</v>
      </c>
      <c r="C7" s="131" t="s">
        <v>287</v>
      </c>
      <c r="D7" s="132"/>
      <c r="E7" s="38">
        <f t="shared" si="1"/>
        <v>39390</v>
      </c>
      <c r="F7" s="9">
        <v>0.77083333333333337</v>
      </c>
      <c r="G7" s="8">
        <v>18510</v>
      </c>
      <c r="H7" s="75">
        <f t="shared" si="0"/>
        <v>0</v>
      </c>
      <c r="I7" s="41">
        <f t="shared" si="2"/>
        <v>38690</v>
      </c>
      <c r="J7" s="11">
        <v>0.77083333333333337</v>
      </c>
      <c r="K7" s="10">
        <v>18559</v>
      </c>
      <c r="L7" s="30">
        <f>IF(AND(L6&lt;&gt;"",K7&lt;&gt;""),K7-K6,"")</f>
        <v>3</v>
      </c>
      <c r="M7" s="43">
        <f t="shared" si="3"/>
        <v>38356</v>
      </c>
      <c r="N7" s="13" t="s">
        <v>26</v>
      </c>
      <c r="O7" s="12">
        <v>18673</v>
      </c>
      <c r="P7" s="23">
        <f t="shared" si="4"/>
        <v>0</v>
      </c>
    </row>
    <row r="8" spans="1:16" x14ac:dyDescent="0.2">
      <c r="A8" s="1" t="s">
        <v>191</v>
      </c>
      <c r="B8" s="26"/>
      <c r="C8" s="133"/>
      <c r="D8" s="133"/>
      <c r="E8" s="38">
        <f t="shared" si="1"/>
        <v>39391</v>
      </c>
      <c r="F8" s="9">
        <v>0.77083333333333337</v>
      </c>
      <c r="G8" s="8">
        <v>18510</v>
      </c>
      <c r="H8" s="75">
        <f t="shared" si="0"/>
        <v>0</v>
      </c>
      <c r="I8" s="41">
        <f t="shared" si="2"/>
        <v>38691</v>
      </c>
      <c r="J8" s="11">
        <v>0.77083333333333337</v>
      </c>
      <c r="K8" s="10">
        <v>18562</v>
      </c>
      <c r="L8" s="30">
        <f>IF(AND(L7&lt;&gt;"",K8&lt;&gt;""),K8-K7,"")</f>
        <v>3</v>
      </c>
      <c r="M8" s="43">
        <f t="shared" si="3"/>
        <v>38357</v>
      </c>
      <c r="N8" s="13">
        <v>0.77083333333333337</v>
      </c>
      <c r="O8" s="12">
        <v>18685</v>
      </c>
      <c r="P8" s="23">
        <f t="shared" si="4"/>
        <v>12</v>
      </c>
    </row>
    <row r="9" spans="1:16" x14ac:dyDescent="0.2">
      <c r="A9" s="1" t="s">
        <v>288</v>
      </c>
      <c r="B9" s="26">
        <v>37.99</v>
      </c>
      <c r="C9" s="128" t="s">
        <v>287</v>
      </c>
      <c r="D9" s="128"/>
      <c r="E9" s="38">
        <f t="shared" si="1"/>
        <v>39392</v>
      </c>
      <c r="F9" s="9">
        <v>0.77083333333333337</v>
      </c>
      <c r="G9" s="8">
        <v>18510</v>
      </c>
      <c r="H9" s="75">
        <f t="shared" si="0"/>
        <v>0</v>
      </c>
      <c r="I9" s="41">
        <f t="shared" si="2"/>
        <v>38692</v>
      </c>
      <c r="J9" s="11" t="s">
        <v>25</v>
      </c>
      <c r="K9" s="10">
        <v>18562</v>
      </c>
      <c r="L9" s="30">
        <f>IF(AND(L8&lt;&gt;"",K9&lt;&gt;""),K9-K8,"")</f>
        <v>0</v>
      </c>
      <c r="M9" s="43">
        <f t="shared" si="3"/>
        <v>38358</v>
      </c>
      <c r="N9" s="13" t="s">
        <v>83</v>
      </c>
      <c r="O9" s="12">
        <v>18691</v>
      </c>
      <c r="P9" s="23">
        <f t="shared" si="4"/>
        <v>6</v>
      </c>
    </row>
    <row r="10" spans="1:16" x14ac:dyDescent="0.2">
      <c r="A10" s="63" t="s">
        <v>271</v>
      </c>
      <c r="B10" s="64">
        <f>SUM(B5:B9)</f>
        <v>230.51000000000002</v>
      </c>
      <c r="C10" s="3"/>
      <c r="D10" s="3"/>
      <c r="E10" s="38">
        <f t="shared" si="1"/>
        <v>39393</v>
      </c>
      <c r="F10" s="9">
        <v>0.77083333333333337</v>
      </c>
      <c r="G10" s="8">
        <v>18510</v>
      </c>
      <c r="H10" s="75">
        <f t="shared" si="0"/>
        <v>0</v>
      </c>
      <c r="I10" s="41">
        <f t="shared" si="2"/>
        <v>38693</v>
      </c>
      <c r="J10" s="11" t="s">
        <v>26</v>
      </c>
      <c r="K10" s="10">
        <v>18562</v>
      </c>
      <c r="L10" s="30">
        <f t="shared" ref="L10:L35" si="5">IF(AND(L9&lt;&gt;"",K10&lt;&gt;""),K10-K9,"")</f>
        <v>0</v>
      </c>
      <c r="M10" s="43">
        <f t="shared" si="3"/>
        <v>38359</v>
      </c>
      <c r="N10" s="13">
        <v>0.77083333333333337</v>
      </c>
      <c r="O10" s="12">
        <v>18697</v>
      </c>
      <c r="P10" s="23">
        <f t="shared" si="4"/>
        <v>6</v>
      </c>
    </row>
    <row r="11" spans="1:16" x14ac:dyDescent="0.2">
      <c r="E11" s="38">
        <f t="shared" si="1"/>
        <v>39394</v>
      </c>
      <c r="F11" s="9" t="s">
        <v>25</v>
      </c>
      <c r="G11" s="8">
        <v>18510</v>
      </c>
      <c r="H11" s="75">
        <f t="shared" si="0"/>
        <v>0</v>
      </c>
      <c r="I11" s="41">
        <f t="shared" si="2"/>
        <v>38694</v>
      </c>
      <c r="J11" s="11" t="s">
        <v>67</v>
      </c>
      <c r="K11" s="10">
        <v>18562</v>
      </c>
      <c r="L11" s="30">
        <f t="shared" si="5"/>
        <v>0</v>
      </c>
      <c r="M11" s="43">
        <f t="shared" si="3"/>
        <v>38360</v>
      </c>
      <c r="N11" s="13">
        <v>0.77083333333333337</v>
      </c>
      <c r="O11" s="12">
        <v>18704</v>
      </c>
      <c r="P11" s="23">
        <f t="shared" si="4"/>
        <v>7</v>
      </c>
    </row>
    <row r="12" spans="1:16" x14ac:dyDescent="0.2">
      <c r="A12" s="1" t="s">
        <v>272</v>
      </c>
      <c r="B12" s="27">
        <f>(MAX(G3:G33,K4:K34,O4:O34,G38:G65,K38:K68,O38:O67)-MIN(G4,G35))</f>
        <v>489</v>
      </c>
      <c r="C12" s="3"/>
      <c r="D12" s="3"/>
      <c r="E12" s="38">
        <f t="shared" si="1"/>
        <v>39395</v>
      </c>
      <c r="F12" s="9" t="s">
        <v>26</v>
      </c>
      <c r="G12" s="8">
        <v>18510</v>
      </c>
      <c r="H12" s="75">
        <f t="shared" si="0"/>
        <v>0</v>
      </c>
      <c r="I12" s="41">
        <f t="shared" si="2"/>
        <v>38695</v>
      </c>
      <c r="J12" s="11">
        <v>0.77083333333333337</v>
      </c>
      <c r="K12" s="10">
        <v>18569</v>
      </c>
      <c r="L12" s="30">
        <f t="shared" si="5"/>
        <v>7</v>
      </c>
      <c r="M12" s="43">
        <f t="shared" si="3"/>
        <v>38361</v>
      </c>
      <c r="N12" s="13">
        <v>0.77083333333333337</v>
      </c>
      <c r="O12" s="12">
        <v>18708</v>
      </c>
      <c r="P12" s="23">
        <f t="shared" si="4"/>
        <v>4</v>
      </c>
    </row>
    <row r="13" spans="1:16" x14ac:dyDescent="0.2">
      <c r="A13" s="1" t="s">
        <v>257</v>
      </c>
      <c r="B13" s="2">
        <f>(MAX(G4:G33,K4:K34)-'1314'!O4)*B65</f>
        <v>439.16717000000006</v>
      </c>
      <c r="C13" s="118"/>
      <c r="D13" s="119"/>
      <c r="E13" s="38">
        <f t="shared" si="1"/>
        <v>39396</v>
      </c>
      <c r="F13" s="9">
        <v>0.77083333333333337</v>
      </c>
      <c r="G13" s="8">
        <v>18510</v>
      </c>
      <c r="H13" s="75">
        <f t="shared" si="0"/>
        <v>0</v>
      </c>
      <c r="I13" s="41">
        <f t="shared" si="2"/>
        <v>38696</v>
      </c>
      <c r="J13" s="11">
        <v>0.77083333333333337</v>
      </c>
      <c r="K13" s="10">
        <v>18575</v>
      </c>
      <c r="L13" s="30">
        <f t="shared" si="5"/>
        <v>6</v>
      </c>
      <c r="M13" s="43">
        <f t="shared" si="3"/>
        <v>38362</v>
      </c>
      <c r="N13" s="13" t="s">
        <v>25</v>
      </c>
      <c r="O13" s="12">
        <v>18708</v>
      </c>
      <c r="P13" s="23">
        <f>IF(AND(P12&lt;&gt;"",O13&lt;&gt;""),O13-O12,"")</f>
        <v>0</v>
      </c>
    </row>
    <row r="14" spans="1:16" x14ac:dyDescent="0.2">
      <c r="A14" s="1" t="s">
        <v>273</v>
      </c>
      <c r="B14" s="2">
        <f>IF(O4="",0,((MAX(O4:O34,G38:G68,K38:K68,O38:O68))-O4)*B65)</f>
        <v>341.12054600000005</v>
      </c>
      <c r="C14" s="3"/>
      <c r="D14" s="3"/>
      <c r="E14" s="38">
        <f t="shared" si="1"/>
        <v>39397</v>
      </c>
      <c r="F14" s="9">
        <v>0.77083333333333337</v>
      </c>
      <c r="G14" s="8">
        <v>18510</v>
      </c>
      <c r="H14" s="75">
        <f t="shared" si="0"/>
        <v>0</v>
      </c>
      <c r="I14" s="41">
        <f t="shared" si="2"/>
        <v>38697</v>
      </c>
      <c r="J14" s="11">
        <v>0.77083333333333337</v>
      </c>
      <c r="K14" s="10">
        <v>18581</v>
      </c>
      <c r="L14" s="30">
        <f t="shared" si="5"/>
        <v>6</v>
      </c>
      <c r="M14" s="43">
        <f t="shared" si="3"/>
        <v>38363</v>
      </c>
      <c r="N14" s="13" t="s">
        <v>26</v>
      </c>
      <c r="O14" s="12">
        <v>18708</v>
      </c>
      <c r="P14" s="23">
        <f t="shared" si="4"/>
        <v>0</v>
      </c>
    </row>
    <row r="15" spans="1:16" ht="13.5" thickBot="1" x14ac:dyDescent="0.25">
      <c r="C15" s="3"/>
      <c r="D15" s="3"/>
      <c r="E15" s="38">
        <f t="shared" si="1"/>
        <v>39398</v>
      </c>
      <c r="F15" s="9">
        <v>0.77083333333333337</v>
      </c>
      <c r="G15" s="8">
        <v>18510</v>
      </c>
      <c r="H15" s="75">
        <f t="shared" si="0"/>
        <v>0</v>
      </c>
      <c r="I15" s="41">
        <f t="shared" si="2"/>
        <v>38698</v>
      </c>
      <c r="J15" s="11">
        <v>0.77083333333333337</v>
      </c>
      <c r="K15" s="10">
        <v>18588</v>
      </c>
      <c r="L15" s="30">
        <f t="shared" si="5"/>
        <v>7</v>
      </c>
      <c r="M15" s="43">
        <f t="shared" si="3"/>
        <v>38364</v>
      </c>
      <c r="N15" s="13">
        <v>0.77083333333333337</v>
      </c>
      <c r="O15" s="12">
        <v>18717</v>
      </c>
      <c r="P15" s="23">
        <f t="shared" si="4"/>
        <v>9</v>
      </c>
    </row>
    <row r="16" spans="1:16" ht="14.25" thickTop="1" thickBot="1" x14ac:dyDescent="0.25">
      <c r="A16" s="1" t="s">
        <v>58</v>
      </c>
      <c r="B16" s="2">
        <v>18999</v>
      </c>
      <c r="C16" s="106"/>
      <c r="D16" s="105">
        <v>42118</v>
      </c>
      <c r="E16" s="38">
        <f t="shared" si="1"/>
        <v>39399</v>
      </c>
      <c r="F16" s="9">
        <v>0.77083333333333337</v>
      </c>
      <c r="G16" s="8">
        <v>18512</v>
      </c>
      <c r="H16" s="75">
        <f t="shared" si="0"/>
        <v>2</v>
      </c>
      <c r="I16" s="41">
        <f t="shared" si="2"/>
        <v>38699</v>
      </c>
      <c r="J16" s="11" t="s">
        <v>25</v>
      </c>
      <c r="K16" s="10">
        <v>18588</v>
      </c>
      <c r="L16" s="30">
        <f t="shared" si="5"/>
        <v>0</v>
      </c>
      <c r="M16" s="43">
        <f t="shared" si="3"/>
        <v>38365</v>
      </c>
      <c r="N16" s="13">
        <v>0.77083333333333337</v>
      </c>
      <c r="O16" s="12">
        <v>18722</v>
      </c>
      <c r="P16" s="23">
        <f t="shared" si="4"/>
        <v>5</v>
      </c>
    </row>
    <row r="17" spans="1:16" ht="13.5" thickTop="1" x14ac:dyDescent="0.2">
      <c r="A17" s="1" t="s">
        <v>258</v>
      </c>
      <c r="B17" s="2">
        <f>(B16-('1314'!O4))*B65</f>
        <v>780.28771600000005</v>
      </c>
      <c r="C17" s="118"/>
      <c r="D17" s="118"/>
      <c r="E17" s="38">
        <f t="shared" si="1"/>
        <v>39400</v>
      </c>
      <c r="F17" s="9">
        <v>0.77083333333333337</v>
      </c>
      <c r="G17" s="8">
        <v>18512</v>
      </c>
      <c r="H17" s="75">
        <f t="shared" si="0"/>
        <v>0</v>
      </c>
      <c r="I17" s="41">
        <f t="shared" si="2"/>
        <v>38700</v>
      </c>
      <c r="J17" s="11" t="s">
        <v>26</v>
      </c>
      <c r="K17" s="10">
        <v>18588</v>
      </c>
      <c r="L17" s="30">
        <f t="shared" si="5"/>
        <v>0</v>
      </c>
      <c r="M17" s="43">
        <f t="shared" si="3"/>
        <v>38366</v>
      </c>
      <c r="N17" s="13">
        <v>0.77083333333333337</v>
      </c>
      <c r="O17" s="12">
        <v>18726</v>
      </c>
      <c r="P17" s="23">
        <f t="shared" si="4"/>
        <v>4</v>
      </c>
    </row>
    <row r="18" spans="1:16" x14ac:dyDescent="0.2">
      <c r="A18" s="1" t="s">
        <v>274</v>
      </c>
      <c r="B18" s="2">
        <f>IF(OR(O4&gt;B16,O4=""),0,B16-K34)</f>
        <v>334</v>
      </c>
      <c r="C18" s="3"/>
      <c r="D18" s="3"/>
      <c r="E18" s="38">
        <f t="shared" si="1"/>
        <v>39401</v>
      </c>
      <c r="F18" s="9" t="s">
        <v>25</v>
      </c>
      <c r="G18" s="8">
        <v>18512</v>
      </c>
      <c r="H18" s="75">
        <f t="shared" si="0"/>
        <v>0</v>
      </c>
      <c r="I18" s="41">
        <f t="shared" si="2"/>
        <v>38701</v>
      </c>
      <c r="J18" s="11">
        <v>0.77083333333333337</v>
      </c>
      <c r="K18" s="10">
        <v>18597</v>
      </c>
      <c r="L18" s="30">
        <f t="shared" si="5"/>
        <v>9</v>
      </c>
      <c r="M18" s="43">
        <f t="shared" si="3"/>
        <v>38367</v>
      </c>
      <c r="N18" s="13">
        <v>0.77083333333333337</v>
      </c>
      <c r="O18" s="12">
        <v>18733</v>
      </c>
      <c r="P18" s="23">
        <f t="shared" si="4"/>
        <v>7</v>
      </c>
    </row>
    <row r="19" spans="1:16" x14ac:dyDescent="0.2">
      <c r="E19" s="38">
        <f t="shared" si="1"/>
        <v>39402</v>
      </c>
      <c r="F19" s="9" t="s">
        <v>26</v>
      </c>
      <c r="G19" s="8">
        <v>18512</v>
      </c>
      <c r="H19" s="75">
        <f t="shared" si="0"/>
        <v>0</v>
      </c>
      <c r="I19" s="41">
        <f t="shared" si="2"/>
        <v>38702</v>
      </c>
      <c r="J19" s="11">
        <v>0.77083333333333337</v>
      </c>
      <c r="K19" s="10">
        <v>18602</v>
      </c>
      <c r="L19" s="30">
        <f t="shared" si="5"/>
        <v>5</v>
      </c>
      <c r="M19" s="43">
        <f t="shared" si="3"/>
        <v>38368</v>
      </c>
      <c r="N19" s="13">
        <v>0.77083333333333337</v>
      </c>
      <c r="O19" s="12">
        <v>18737</v>
      </c>
      <c r="P19" s="23">
        <f t="shared" si="4"/>
        <v>4</v>
      </c>
    </row>
    <row r="20" spans="1:16" x14ac:dyDescent="0.2">
      <c r="A20" s="1" t="s">
        <v>275</v>
      </c>
      <c r="B20" s="2">
        <f>IF(AND(B13&gt;480,B17&lt;480),480-B17,0)</f>
        <v>0</v>
      </c>
      <c r="C20" s="3"/>
      <c r="D20" s="3"/>
      <c r="E20" s="38">
        <f t="shared" si="1"/>
        <v>39403</v>
      </c>
      <c r="F20" s="9">
        <v>0.77083333333333337</v>
      </c>
      <c r="G20" s="8">
        <v>18512</v>
      </c>
      <c r="H20" s="75">
        <f t="shared" si="0"/>
        <v>0</v>
      </c>
      <c r="I20" s="41">
        <f t="shared" si="2"/>
        <v>38703</v>
      </c>
      <c r="J20" s="11">
        <v>0.77083333333333337</v>
      </c>
      <c r="K20" s="10">
        <v>18606</v>
      </c>
      <c r="L20" s="30">
        <f t="shared" si="5"/>
        <v>4</v>
      </c>
      <c r="M20" s="43">
        <f t="shared" si="3"/>
        <v>38369</v>
      </c>
      <c r="N20" s="13" t="s">
        <v>25</v>
      </c>
      <c r="O20" s="12">
        <v>18737</v>
      </c>
      <c r="P20" s="23">
        <f t="shared" si="4"/>
        <v>0</v>
      </c>
    </row>
    <row r="21" spans="1:16" x14ac:dyDescent="0.2">
      <c r="A21" s="1" t="s">
        <v>276</v>
      </c>
      <c r="B21" s="2">
        <f>IF(AND(B14&gt;0,B18=0),(K34-B16-B20)*B65,120)</f>
        <v>120</v>
      </c>
      <c r="C21" s="3"/>
      <c r="D21" s="3"/>
      <c r="E21" s="38">
        <f t="shared" si="1"/>
        <v>39404</v>
      </c>
      <c r="F21" s="9">
        <v>0.77083333333333337</v>
      </c>
      <c r="G21" s="8">
        <v>18513</v>
      </c>
      <c r="H21" s="75">
        <f t="shared" si="0"/>
        <v>1</v>
      </c>
      <c r="I21" s="41">
        <f t="shared" si="2"/>
        <v>38704</v>
      </c>
      <c r="J21" s="11">
        <v>0.77083333333333337</v>
      </c>
      <c r="K21" s="10">
        <v>18612</v>
      </c>
      <c r="L21" s="30">
        <f t="shared" si="5"/>
        <v>6</v>
      </c>
      <c r="M21" s="43">
        <f t="shared" si="3"/>
        <v>38370</v>
      </c>
      <c r="N21" s="13" t="s">
        <v>26</v>
      </c>
      <c r="O21" s="12">
        <v>18737</v>
      </c>
      <c r="P21" s="23">
        <f t="shared" si="4"/>
        <v>0</v>
      </c>
    </row>
    <row r="22" spans="1:16" x14ac:dyDescent="0.2">
      <c r="A22" s="1" t="s">
        <v>261</v>
      </c>
      <c r="B22" s="104"/>
      <c r="C22" s="104"/>
      <c r="E22" s="38">
        <f t="shared" si="1"/>
        <v>39405</v>
      </c>
      <c r="F22" s="9">
        <v>0.77083333333333337</v>
      </c>
      <c r="G22" s="8">
        <v>18517</v>
      </c>
      <c r="H22" s="75">
        <f t="shared" si="0"/>
        <v>4</v>
      </c>
      <c r="I22" s="41">
        <f t="shared" si="2"/>
        <v>38705</v>
      </c>
      <c r="J22" s="11">
        <v>0.77083333333333337</v>
      </c>
      <c r="K22" s="10">
        <v>18617</v>
      </c>
      <c r="L22" s="30">
        <f t="shared" si="5"/>
        <v>5</v>
      </c>
      <c r="M22" s="43">
        <f t="shared" si="3"/>
        <v>38371</v>
      </c>
      <c r="N22" s="13">
        <v>0.77083333333333337</v>
      </c>
      <c r="O22" s="12">
        <v>18749</v>
      </c>
      <c r="P22" s="23">
        <f t="shared" si="4"/>
        <v>12</v>
      </c>
    </row>
    <row r="23" spans="1:16" x14ac:dyDescent="0.2">
      <c r="A23" s="1" t="s">
        <v>277</v>
      </c>
      <c r="B23" s="104">
        <f>IF(B14=0,0,B14-120)</f>
        <v>221.12054600000005</v>
      </c>
      <c r="E23" s="38">
        <f t="shared" si="1"/>
        <v>39406</v>
      </c>
      <c r="F23" s="9">
        <v>0.77083333333333337</v>
      </c>
      <c r="G23" s="8">
        <v>18521</v>
      </c>
      <c r="H23" s="75">
        <f t="shared" si="0"/>
        <v>4</v>
      </c>
      <c r="I23" s="41">
        <f t="shared" si="2"/>
        <v>38706</v>
      </c>
      <c r="J23" s="11" t="s">
        <v>25</v>
      </c>
      <c r="K23" s="10">
        <v>18617</v>
      </c>
      <c r="L23" s="30">
        <f t="shared" si="5"/>
        <v>0</v>
      </c>
      <c r="M23" s="43">
        <f t="shared" si="3"/>
        <v>38372</v>
      </c>
      <c r="N23" s="13">
        <v>0.77083333333333337</v>
      </c>
      <c r="O23" s="12">
        <v>18755</v>
      </c>
      <c r="P23" s="23">
        <f t="shared" si="4"/>
        <v>6</v>
      </c>
    </row>
    <row r="24" spans="1:16" x14ac:dyDescent="0.2">
      <c r="A24" s="1" t="s">
        <v>278</v>
      </c>
      <c r="B24" s="104"/>
      <c r="E24" s="38">
        <f t="shared" si="1"/>
        <v>39407</v>
      </c>
      <c r="F24" s="9">
        <v>0.77083333333333337</v>
      </c>
      <c r="G24" s="8">
        <v>18526</v>
      </c>
      <c r="H24" s="75">
        <f t="shared" si="0"/>
        <v>5</v>
      </c>
      <c r="I24" s="41">
        <f t="shared" si="2"/>
        <v>38707</v>
      </c>
      <c r="J24" s="11" t="s">
        <v>26</v>
      </c>
      <c r="K24" s="10">
        <v>18617</v>
      </c>
      <c r="L24" s="30">
        <f t="shared" si="5"/>
        <v>0</v>
      </c>
      <c r="M24" s="43">
        <f t="shared" si="3"/>
        <v>38373</v>
      </c>
      <c r="N24" s="13">
        <v>0.77083333333333337</v>
      </c>
      <c r="O24" s="12">
        <v>18761</v>
      </c>
      <c r="P24" s="23">
        <f t="shared" si="4"/>
        <v>6</v>
      </c>
    </row>
    <row r="25" spans="1:16" x14ac:dyDescent="0.2">
      <c r="E25" s="38">
        <f t="shared" si="1"/>
        <v>39408</v>
      </c>
      <c r="F25" s="9" t="s">
        <v>25</v>
      </c>
      <c r="G25" s="8">
        <v>18526</v>
      </c>
      <c r="H25" s="75">
        <f t="shared" si="0"/>
        <v>0</v>
      </c>
      <c r="I25" s="41">
        <f t="shared" si="2"/>
        <v>38708</v>
      </c>
      <c r="J25" s="11">
        <v>0.77083333333333337</v>
      </c>
      <c r="K25" s="10">
        <v>18626</v>
      </c>
      <c r="L25" s="30">
        <f t="shared" si="5"/>
        <v>9</v>
      </c>
      <c r="M25" s="43">
        <f t="shared" si="3"/>
        <v>38374</v>
      </c>
      <c r="N25" s="13">
        <v>0.77083333333333337</v>
      </c>
      <c r="O25" s="12">
        <v>18768</v>
      </c>
      <c r="P25" s="23">
        <f t="shared" si="4"/>
        <v>7</v>
      </c>
    </row>
    <row r="26" spans="1:16" x14ac:dyDescent="0.2">
      <c r="A26" s="1" t="s">
        <v>279</v>
      </c>
      <c r="B26" s="66" t="s">
        <v>8</v>
      </c>
      <c r="C26" s="67" t="s">
        <v>5</v>
      </c>
      <c r="D26" s="67" t="s">
        <v>6</v>
      </c>
      <c r="E26" s="38">
        <f t="shared" si="1"/>
        <v>39409</v>
      </c>
      <c r="F26" s="9" t="s">
        <v>26</v>
      </c>
      <c r="G26" s="8">
        <v>18526</v>
      </c>
      <c r="H26" s="75">
        <f t="shared" si="0"/>
        <v>0</v>
      </c>
      <c r="I26" s="41">
        <f t="shared" si="2"/>
        <v>38709</v>
      </c>
      <c r="J26" s="11">
        <v>0.77083333333333337</v>
      </c>
      <c r="K26" s="10">
        <v>18634</v>
      </c>
      <c r="L26" s="30">
        <f t="shared" si="5"/>
        <v>8</v>
      </c>
      <c r="M26" s="43">
        <f t="shared" si="3"/>
        <v>38375</v>
      </c>
      <c r="N26" s="13">
        <v>0.77083333333333337</v>
      </c>
      <c r="O26" s="12">
        <v>18773</v>
      </c>
      <c r="P26" s="23">
        <f t="shared" si="4"/>
        <v>5</v>
      </c>
    </row>
    <row r="27" spans="1:16" x14ac:dyDescent="0.2">
      <c r="A27" s="5"/>
      <c r="B27" s="2"/>
      <c r="C27" s="3"/>
      <c r="D27" s="3"/>
      <c r="E27" s="38">
        <f t="shared" si="1"/>
        <v>39410</v>
      </c>
      <c r="F27" s="9">
        <v>0.77083333333333337</v>
      </c>
      <c r="G27" s="8">
        <v>18532</v>
      </c>
      <c r="H27" s="75">
        <f t="shared" si="0"/>
        <v>6</v>
      </c>
      <c r="I27" s="41">
        <f t="shared" si="2"/>
        <v>38710</v>
      </c>
      <c r="J27" s="11">
        <v>0.77083333333333337</v>
      </c>
      <c r="K27" s="10">
        <v>18640</v>
      </c>
      <c r="L27" s="30">
        <f t="shared" si="5"/>
        <v>6</v>
      </c>
      <c r="M27" s="43">
        <f t="shared" si="3"/>
        <v>38376</v>
      </c>
      <c r="N27" s="13" t="s">
        <v>25</v>
      </c>
      <c r="O27" s="12">
        <v>18773</v>
      </c>
      <c r="P27" s="23">
        <f t="shared" si="4"/>
        <v>0</v>
      </c>
    </row>
    <row r="28" spans="1:16" x14ac:dyDescent="0.2">
      <c r="A28" s="1" t="s">
        <v>0</v>
      </c>
      <c r="B28" s="2">
        <f ca="1">SUM(TODAY()-D16)</f>
        <v>2902</v>
      </c>
      <c r="C28" s="3"/>
      <c r="D28" s="3"/>
      <c r="E28" s="38">
        <f t="shared" si="1"/>
        <v>39411</v>
      </c>
      <c r="F28" s="9">
        <v>0.77083333333333337</v>
      </c>
      <c r="G28" s="8">
        <v>18535</v>
      </c>
      <c r="H28" s="75">
        <f t="shared" si="0"/>
        <v>3</v>
      </c>
      <c r="I28" s="46">
        <f t="shared" si="2"/>
        <v>38711</v>
      </c>
      <c r="J28" s="52" t="s">
        <v>31</v>
      </c>
      <c r="K28" s="10">
        <v>18640</v>
      </c>
      <c r="L28" s="30">
        <f t="shared" si="5"/>
        <v>0</v>
      </c>
      <c r="M28" s="43">
        <f t="shared" si="3"/>
        <v>38377</v>
      </c>
      <c r="N28" s="13" t="s">
        <v>26</v>
      </c>
      <c r="O28" s="12">
        <v>18773</v>
      </c>
      <c r="P28" s="23">
        <f t="shared" si="4"/>
        <v>0</v>
      </c>
    </row>
    <row r="29" spans="1:16" x14ac:dyDescent="0.2">
      <c r="A29" s="1" t="s">
        <v>85</v>
      </c>
      <c r="B29" s="2">
        <f>(MAX(G4:G33, K4:K34,O4:O34, G38:G71, K38:K73, O38:O72)-B16)*B65</f>
        <v>0</v>
      </c>
      <c r="C29" s="3"/>
      <c r="D29" s="3"/>
      <c r="E29" s="38">
        <f t="shared" si="1"/>
        <v>39412</v>
      </c>
      <c r="F29" s="9">
        <v>0.77083333333333337</v>
      </c>
      <c r="G29" s="8">
        <v>18539</v>
      </c>
      <c r="H29" s="75">
        <f t="shared" si="0"/>
        <v>4</v>
      </c>
      <c r="I29" s="41">
        <f t="shared" si="2"/>
        <v>38712</v>
      </c>
      <c r="J29" s="51" t="s">
        <v>68</v>
      </c>
      <c r="K29" s="10">
        <v>18640</v>
      </c>
      <c r="L29" s="30">
        <f t="shared" si="5"/>
        <v>0</v>
      </c>
      <c r="M29" s="43">
        <f t="shared" si="3"/>
        <v>38378</v>
      </c>
      <c r="N29" s="13">
        <v>0.77083333333333337</v>
      </c>
      <c r="O29" s="12">
        <v>18784</v>
      </c>
      <c r="P29" s="23">
        <f t="shared" si="4"/>
        <v>11</v>
      </c>
    </row>
    <row r="30" spans="1:16" x14ac:dyDescent="0.2">
      <c r="A30" s="1" t="s">
        <v>87</v>
      </c>
      <c r="B30" s="2">
        <f ca="1">B28</f>
        <v>2902</v>
      </c>
      <c r="C30" s="3">
        <f>B59/365</f>
        <v>0.16238356164383563</v>
      </c>
      <c r="D30" s="3">
        <f ca="1">(B30*C30)</f>
        <v>471.23709589041101</v>
      </c>
      <c r="E30" s="38">
        <f t="shared" si="1"/>
        <v>39413</v>
      </c>
      <c r="F30" s="9">
        <v>0.77083333333333337</v>
      </c>
      <c r="G30" s="8">
        <v>18543</v>
      </c>
      <c r="H30" s="75">
        <f t="shared" si="0"/>
        <v>4</v>
      </c>
      <c r="I30" s="41">
        <f>I29+1</f>
        <v>38713</v>
      </c>
      <c r="J30" s="11" t="s">
        <v>25</v>
      </c>
      <c r="K30" s="10">
        <v>18640</v>
      </c>
      <c r="L30" s="30">
        <f t="shared" si="5"/>
        <v>0</v>
      </c>
      <c r="M30" s="43">
        <f>M29+1</f>
        <v>38379</v>
      </c>
      <c r="N30" s="13">
        <v>0.77083333333333337</v>
      </c>
      <c r="O30" s="12">
        <v>18791</v>
      </c>
      <c r="P30" s="23">
        <f t="shared" si="4"/>
        <v>7</v>
      </c>
    </row>
    <row r="31" spans="1:16" x14ac:dyDescent="0.2">
      <c r="A31" s="1" t="s">
        <v>54</v>
      </c>
      <c r="B31" s="2">
        <f ca="1">B28</f>
        <v>2902</v>
      </c>
      <c r="C31" s="3">
        <f>B60/365</f>
        <v>0.15712328767123288</v>
      </c>
      <c r="D31" s="3">
        <f ca="1">(B31*C31)</f>
        <v>455.97178082191778</v>
      </c>
      <c r="E31" s="38">
        <f t="shared" si="1"/>
        <v>39414</v>
      </c>
      <c r="F31" s="9">
        <v>0.77083333333333337</v>
      </c>
      <c r="G31" s="8">
        <v>18546</v>
      </c>
      <c r="H31" s="75">
        <f t="shared" si="0"/>
        <v>3</v>
      </c>
      <c r="I31" s="41">
        <f>I30+1</f>
        <v>38714</v>
      </c>
      <c r="J31" s="11" t="s">
        <v>26</v>
      </c>
      <c r="K31" s="10">
        <v>18640</v>
      </c>
      <c r="L31" s="30">
        <f t="shared" si="5"/>
        <v>0</v>
      </c>
      <c r="M31" s="43">
        <f>M30+1</f>
        <v>38380</v>
      </c>
      <c r="N31" s="13">
        <v>0.77083333333333337</v>
      </c>
      <c r="O31" s="12">
        <v>18797</v>
      </c>
      <c r="P31" s="23">
        <f t="shared" si="4"/>
        <v>6</v>
      </c>
    </row>
    <row r="32" spans="1:16" x14ac:dyDescent="0.2">
      <c r="A32" s="1" t="s">
        <v>88</v>
      </c>
      <c r="B32" s="2">
        <f ca="1">B28</f>
        <v>2902</v>
      </c>
      <c r="C32" s="68">
        <f>B61/365</f>
        <v>-7.400000000000001E-2</v>
      </c>
      <c r="D32" s="3">
        <f ca="1">(B32*C32)</f>
        <v>-214.74800000000002</v>
      </c>
      <c r="E32" s="38">
        <f t="shared" si="1"/>
        <v>39415</v>
      </c>
      <c r="F32" s="9" t="s">
        <v>25</v>
      </c>
      <c r="G32" s="8">
        <v>18546</v>
      </c>
      <c r="H32" s="75">
        <f t="shared" si="0"/>
        <v>0</v>
      </c>
      <c r="I32" s="41">
        <f>I31+1</f>
        <v>38715</v>
      </c>
      <c r="J32" s="11">
        <v>0.77083333333333337</v>
      </c>
      <c r="K32" s="10">
        <v>18650</v>
      </c>
      <c r="L32" s="30">
        <f t="shared" si="5"/>
        <v>10</v>
      </c>
      <c r="M32" s="43">
        <f>M31+1</f>
        <v>38381</v>
      </c>
      <c r="N32" s="13">
        <v>0.77083333333333337</v>
      </c>
      <c r="O32" s="12">
        <v>18805</v>
      </c>
      <c r="P32" s="23">
        <f t="shared" si="4"/>
        <v>8</v>
      </c>
    </row>
    <row r="33" spans="1:16" x14ac:dyDescent="0.2">
      <c r="A33" s="1" t="s">
        <v>92</v>
      </c>
      <c r="B33" s="69">
        <f ca="1">B28</f>
        <v>2902</v>
      </c>
      <c r="C33" s="68">
        <f>B62/365</f>
        <v>0</v>
      </c>
      <c r="D33" s="3">
        <f ca="1">(B33*C33)</f>
        <v>0</v>
      </c>
      <c r="E33" s="38">
        <f t="shared" si="1"/>
        <v>39416</v>
      </c>
      <c r="F33" s="9" t="s">
        <v>26</v>
      </c>
      <c r="G33" s="8">
        <v>18546</v>
      </c>
      <c r="H33" s="75">
        <f t="shared" si="0"/>
        <v>0</v>
      </c>
      <c r="I33" s="41">
        <f>I32+1</f>
        <v>38716</v>
      </c>
      <c r="J33" s="11">
        <v>0.77083333333333337</v>
      </c>
      <c r="K33" s="10">
        <v>18659</v>
      </c>
      <c r="L33" s="30">
        <f t="shared" si="5"/>
        <v>9</v>
      </c>
      <c r="M33" s="43">
        <f>M32+1</f>
        <v>38382</v>
      </c>
      <c r="N33" s="13">
        <v>0.77083333333333337</v>
      </c>
      <c r="O33" s="12">
        <v>18810</v>
      </c>
      <c r="P33" s="23">
        <f t="shared" si="4"/>
        <v>5</v>
      </c>
    </row>
    <row r="34" spans="1:16" x14ac:dyDescent="0.2">
      <c r="A34" s="1" t="s">
        <v>22</v>
      </c>
      <c r="B34" s="2">
        <f>B43</f>
        <v>0</v>
      </c>
      <c r="C34" s="3">
        <v>0</v>
      </c>
      <c r="D34" s="3">
        <f>B34*C34</f>
        <v>0</v>
      </c>
      <c r="E34" s="38"/>
      <c r="F34" s="8"/>
      <c r="G34" s="8"/>
      <c r="H34" s="75" t="str">
        <f t="shared" si="0"/>
        <v/>
      </c>
      <c r="I34" s="41">
        <f>I33+1</f>
        <v>38717</v>
      </c>
      <c r="J34" s="11">
        <v>0.77083333333333337</v>
      </c>
      <c r="K34" s="10">
        <v>18665</v>
      </c>
      <c r="L34" s="30">
        <f t="shared" si="5"/>
        <v>6</v>
      </c>
      <c r="M34" s="43">
        <f>M33+1</f>
        <v>38383</v>
      </c>
      <c r="N34" s="13" t="s">
        <v>25</v>
      </c>
      <c r="O34" s="12">
        <v>18810</v>
      </c>
      <c r="P34" s="23">
        <f t="shared" si="4"/>
        <v>0</v>
      </c>
    </row>
    <row r="35" spans="1:16" ht="13.5" thickBot="1" x14ac:dyDescent="0.25">
      <c r="A35" s="1" t="s">
        <v>106</v>
      </c>
      <c r="B35" s="69">
        <f>B34</f>
        <v>0</v>
      </c>
      <c r="C35" s="3">
        <v>0</v>
      </c>
      <c r="D35" s="3">
        <f>B35*C35</f>
        <v>0</v>
      </c>
      <c r="E35" s="38"/>
      <c r="F35" s="8"/>
      <c r="G35" s="8"/>
      <c r="H35" s="75" t="str">
        <f t="shared" si="0"/>
        <v/>
      </c>
      <c r="I35" s="41"/>
      <c r="J35" s="51"/>
      <c r="K35" s="57"/>
      <c r="L35" s="30" t="str">
        <f t="shared" si="5"/>
        <v/>
      </c>
      <c r="M35" s="43"/>
      <c r="N35" s="12"/>
      <c r="O35" s="12"/>
      <c r="P35" s="23" t="str">
        <f t="shared" si="4"/>
        <v/>
      </c>
    </row>
    <row r="36" spans="1:16" ht="13.5" thickTop="1" x14ac:dyDescent="0.2">
      <c r="A36" s="1" t="s">
        <v>15</v>
      </c>
      <c r="B36" s="2">
        <f>IF(B14&lt;0,B46,B44)</f>
        <v>0</v>
      </c>
      <c r="C36" s="3">
        <v>5.9560000000000002E-2</v>
      </c>
      <c r="D36" s="3">
        <f>B36*C36</f>
        <v>0</v>
      </c>
      <c r="E36" s="37" t="s">
        <v>13</v>
      </c>
      <c r="F36" s="19" t="s">
        <v>10</v>
      </c>
      <c r="G36" s="19" t="s">
        <v>9</v>
      </c>
      <c r="H36" s="74" t="s">
        <v>11</v>
      </c>
      <c r="I36" s="45" t="s">
        <v>14</v>
      </c>
      <c r="J36" s="35" t="s">
        <v>10</v>
      </c>
      <c r="K36" s="20" t="s">
        <v>9</v>
      </c>
      <c r="L36" s="50" t="s">
        <v>11</v>
      </c>
      <c r="M36" s="48" t="s">
        <v>21</v>
      </c>
      <c r="N36" s="21" t="s">
        <v>10</v>
      </c>
      <c r="O36" s="21" t="s">
        <v>9</v>
      </c>
      <c r="P36" s="22" t="s">
        <v>11</v>
      </c>
    </row>
    <row r="37" spans="1:16" x14ac:dyDescent="0.2">
      <c r="A37" s="1" t="s">
        <v>98</v>
      </c>
      <c r="B37" s="2">
        <f>B36</f>
        <v>0</v>
      </c>
      <c r="C37" s="3">
        <f>0.0376+0.002474+0.00642+0.0001</f>
        <v>4.6594000000000003E-2</v>
      </c>
      <c r="D37" s="3">
        <f>B37*C37</f>
        <v>0</v>
      </c>
      <c r="E37" s="38"/>
      <c r="F37" s="8"/>
      <c r="G37" s="8"/>
      <c r="H37" s="75"/>
      <c r="I37" s="46"/>
      <c r="J37" s="11"/>
      <c r="K37" s="10"/>
      <c r="L37" s="30"/>
      <c r="M37" s="49"/>
      <c r="N37" s="12"/>
      <c r="O37" s="12"/>
      <c r="P37" s="23"/>
    </row>
    <row r="38" spans="1:16" x14ac:dyDescent="0.2">
      <c r="A38" s="1" t="s">
        <v>17</v>
      </c>
      <c r="B38" s="2">
        <f>B45</f>
        <v>0</v>
      </c>
      <c r="C38" s="3">
        <v>5.4514E-2</v>
      </c>
      <c r="D38" s="3">
        <f t="shared" ref="D38:D46" si="6">B38*C38</f>
        <v>0</v>
      </c>
      <c r="E38" s="38">
        <v>38384</v>
      </c>
      <c r="F38" s="9" t="s">
        <v>26</v>
      </c>
      <c r="G38" s="8">
        <v>18810</v>
      </c>
      <c r="H38" s="75">
        <f>G38-O34</f>
        <v>0</v>
      </c>
      <c r="I38" s="46">
        <v>38412</v>
      </c>
      <c r="J38" s="11" t="s">
        <v>26</v>
      </c>
      <c r="K38" s="10">
        <v>18943</v>
      </c>
      <c r="L38" s="30">
        <f>IF(AND(H69&lt;&gt;"",K38&lt;&gt;""),K38-K37,K38-MAX(G38:G69))</f>
        <v>0</v>
      </c>
      <c r="M38" s="43">
        <v>38443</v>
      </c>
      <c r="N38" s="13">
        <v>0.77083333333333337</v>
      </c>
      <c r="O38" s="12">
        <v>18994</v>
      </c>
      <c r="P38" s="23">
        <f>IF(AND(L69&lt;&gt;"",O38&lt;&gt;""),O38-O37,O38-MAX(K38:K69))</f>
        <v>0</v>
      </c>
    </row>
    <row r="39" spans="1:16" x14ac:dyDescent="0.2">
      <c r="A39" s="1" t="s">
        <v>99</v>
      </c>
      <c r="B39" s="2">
        <f>B38</f>
        <v>0</v>
      </c>
      <c r="C39" s="3">
        <f>0.0217+0.007+0.00098+0.00642</f>
        <v>3.61E-2</v>
      </c>
      <c r="D39" s="3">
        <f t="shared" si="6"/>
        <v>0</v>
      </c>
      <c r="E39" s="38">
        <f>E38+1</f>
        <v>38385</v>
      </c>
      <c r="F39" s="9">
        <v>0.77083333333333337</v>
      </c>
      <c r="G39" s="8">
        <v>18827</v>
      </c>
      <c r="H39" s="75">
        <f t="shared" ref="H39:H62" si="7">IF(AND(H38&lt;&gt;"",G39&lt;&gt;""),G39-G38,"")</f>
        <v>17</v>
      </c>
      <c r="I39" s="41">
        <f>I38+1</f>
        <v>38413</v>
      </c>
      <c r="J39" s="11">
        <v>0.77083333333333337</v>
      </c>
      <c r="K39" s="10">
        <v>18949</v>
      </c>
      <c r="L39" s="30">
        <f t="shared" ref="L39:L69" si="8">IF(AND(L38&lt;&gt;"",K39&lt;&gt;""),K39-K38,"")</f>
        <v>6</v>
      </c>
      <c r="M39" s="43">
        <f>M38+1</f>
        <v>38444</v>
      </c>
      <c r="N39" s="13">
        <v>0.77083333333333337</v>
      </c>
      <c r="O39" s="12">
        <v>18994</v>
      </c>
      <c r="P39" s="23">
        <f t="shared" ref="P39:P67" si="9">IF(AND(P38&lt;&gt;"",O39&lt;&gt;""),O39-O38,"")</f>
        <v>0</v>
      </c>
    </row>
    <row r="40" spans="1:16" x14ac:dyDescent="0.2">
      <c r="A40" s="1" t="s">
        <v>93</v>
      </c>
      <c r="B40" s="2">
        <f>B43</f>
        <v>0</v>
      </c>
      <c r="C40" s="29">
        <v>4.3999999999999997E-2</v>
      </c>
      <c r="D40" s="3">
        <f t="shared" si="6"/>
        <v>0</v>
      </c>
      <c r="E40" s="38">
        <f t="shared" ref="E40:E62" si="10">E39+1</f>
        <v>38386</v>
      </c>
      <c r="F40" s="9">
        <v>0.77083333333333337</v>
      </c>
      <c r="G40" s="8">
        <v>18833</v>
      </c>
      <c r="H40" s="75">
        <f t="shared" si="7"/>
        <v>6</v>
      </c>
      <c r="I40" s="41">
        <f t="shared" ref="I40:I62" si="11">I39+1</f>
        <v>38414</v>
      </c>
      <c r="J40" s="11">
        <v>0.77083333333333337</v>
      </c>
      <c r="K40" s="10">
        <v>18951</v>
      </c>
      <c r="L40" s="30">
        <f t="shared" si="8"/>
        <v>2</v>
      </c>
      <c r="M40" s="43">
        <f t="shared" ref="M40:M67" si="12">M39+1</f>
        <v>38445</v>
      </c>
      <c r="N40" s="13">
        <v>0.77083333333333337</v>
      </c>
      <c r="O40" s="12">
        <v>18994</v>
      </c>
      <c r="P40" s="23">
        <f t="shared" si="9"/>
        <v>0</v>
      </c>
    </row>
    <row r="41" spans="1:16" x14ac:dyDescent="0.2">
      <c r="A41" s="1" t="s">
        <v>94</v>
      </c>
      <c r="B41" s="2">
        <f>B36</f>
        <v>0</v>
      </c>
      <c r="C41" s="3">
        <v>0.17499999999999999</v>
      </c>
      <c r="D41" s="3">
        <f t="shared" si="6"/>
        <v>0</v>
      </c>
      <c r="E41" s="38">
        <f t="shared" si="10"/>
        <v>38387</v>
      </c>
      <c r="F41" s="9">
        <v>0.77083333333333337</v>
      </c>
      <c r="G41" s="8">
        <v>18840</v>
      </c>
      <c r="H41" s="75">
        <f t="shared" si="7"/>
        <v>7</v>
      </c>
      <c r="I41" s="41">
        <f t="shared" si="11"/>
        <v>38415</v>
      </c>
      <c r="J41" s="11">
        <v>0.77083333333333337</v>
      </c>
      <c r="K41" s="10">
        <v>18954</v>
      </c>
      <c r="L41" s="30">
        <f t="shared" si="8"/>
        <v>3</v>
      </c>
      <c r="M41" s="43">
        <f t="shared" si="12"/>
        <v>38446</v>
      </c>
      <c r="N41" s="13" t="s">
        <v>25</v>
      </c>
      <c r="O41" s="12">
        <v>18994</v>
      </c>
      <c r="P41" s="23">
        <f t="shared" si="9"/>
        <v>0</v>
      </c>
    </row>
    <row r="42" spans="1:16" x14ac:dyDescent="0.2">
      <c r="A42" s="1" t="s">
        <v>95</v>
      </c>
      <c r="B42" s="2">
        <f>B45</f>
        <v>0</v>
      </c>
      <c r="C42" s="70">
        <v>0.17</v>
      </c>
      <c r="D42" s="3">
        <f t="shared" si="6"/>
        <v>0</v>
      </c>
      <c r="E42" s="38">
        <f t="shared" si="10"/>
        <v>38388</v>
      </c>
      <c r="F42" s="9">
        <v>0.77083333333333337</v>
      </c>
      <c r="G42" s="8">
        <v>18847</v>
      </c>
      <c r="H42" s="75">
        <f t="shared" si="7"/>
        <v>7</v>
      </c>
      <c r="I42" s="41">
        <f t="shared" si="11"/>
        <v>38416</v>
      </c>
      <c r="J42" s="11">
        <v>0.77083333333333337</v>
      </c>
      <c r="K42" s="10">
        <v>18956</v>
      </c>
      <c r="L42" s="30">
        <f t="shared" si="8"/>
        <v>2</v>
      </c>
      <c r="M42" s="43">
        <f t="shared" si="12"/>
        <v>38447</v>
      </c>
      <c r="N42" s="13" t="s">
        <v>52</v>
      </c>
      <c r="O42" s="12">
        <v>18994</v>
      </c>
      <c r="P42" s="23">
        <f t="shared" si="9"/>
        <v>0</v>
      </c>
    </row>
    <row r="43" spans="1:16" x14ac:dyDescent="0.2">
      <c r="A43" s="1" t="s">
        <v>23</v>
      </c>
      <c r="B43" s="2">
        <f>IF(AND(B14&lt;120,B18=0),B14,0)</f>
        <v>0</v>
      </c>
      <c r="C43" s="3">
        <f>B51</f>
        <v>0.38074400000000003</v>
      </c>
      <c r="D43" s="3">
        <f t="shared" si="6"/>
        <v>0</v>
      </c>
      <c r="E43" s="38">
        <f t="shared" si="10"/>
        <v>38389</v>
      </c>
      <c r="F43" s="9">
        <v>0.77083333333333337</v>
      </c>
      <c r="G43" s="8">
        <v>18854</v>
      </c>
      <c r="H43" s="75">
        <f t="shared" si="7"/>
        <v>7</v>
      </c>
      <c r="I43" s="41">
        <f t="shared" si="11"/>
        <v>38417</v>
      </c>
      <c r="J43" s="11">
        <v>0.77083333333333337</v>
      </c>
      <c r="K43" s="10">
        <v>18959</v>
      </c>
      <c r="L43" s="30">
        <f t="shared" si="8"/>
        <v>3</v>
      </c>
      <c r="M43" s="43">
        <f t="shared" si="12"/>
        <v>38448</v>
      </c>
      <c r="N43" s="13" t="s">
        <v>72</v>
      </c>
      <c r="O43" s="12">
        <v>18994</v>
      </c>
      <c r="P43" s="23">
        <f t="shared" si="9"/>
        <v>0</v>
      </c>
    </row>
    <row r="44" spans="1:16" x14ac:dyDescent="0.2">
      <c r="A44" s="1" t="s">
        <v>280</v>
      </c>
      <c r="B44" s="2"/>
      <c r="C44" s="3"/>
      <c r="D44" s="3">
        <f t="shared" si="6"/>
        <v>0</v>
      </c>
      <c r="E44" s="38">
        <f t="shared" si="10"/>
        <v>38390</v>
      </c>
      <c r="F44" s="9" t="s">
        <v>25</v>
      </c>
      <c r="G44" s="8">
        <v>18854</v>
      </c>
      <c r="H44" s="75">
        <f t="shared" si="7"/>
        <v>0</v>
      </c>
      <c r="I44" s="41">
        <f t="shared" si="11"/>
        <v>38418</v>
      </c>
      <c r="J44" s="11" t="s">
        <v>25</v>
      </c>
      <c r="K44" s="10">
        <v>18959</v>
      </c>
      <c r="L44" s="30">
        <f t="shared" si="8"/>
        <v>0</v>
      </c>
      <c r="M44" s="43">
        <f t="shared" si="12"/>
        <v>38449</v>
      </c>
      <c r="N44" s="13">
        <v>0.77083333333333337</v>
      </c>
      <c r="O44" s="12">
        <v>18995</v>
      </c>
      <c r="P44" s="23">
        <f t="shared" si="9"/>
        <v>1</v>
      </c>
    </row>
    <row r="45" spans="1:16" x14ac:dyDescent="0.2">
      <c r="A45" s="1" t="s">
        <v>18</v>
      </c>
      <c r="B45" s="2">
        <f>IF(AND(B14&gt;0,B13&lt;480),0,INT(B29-B44))</f>
        <v>0</v>
      </c>
      <c r="C45" s="29">
        <f>B53</f>
        <v>0.45866099999999999</v>
      </c>
      <c r="D45" s="3">
        <f t="shared" si="6"/>
        <v>0</v>
      </c>
      <c r="E45" s="38">
        <f t="shared" si="10"/>
        <v>38391</v>
      </c>
      <c r="F45" s="9" t="s">
        <v>26</v>
      </c>
      <c r="G45" s="8">
        <v>18854</v>
      </c>
      <c r="H45" s="75">
        <f t="shared" si="7"/>
        <v>0</v>
      </c>
      <c r="I45" s="41">
        <f t="shared" si="11"/>
        <v>38419</v>
      </c>
      <c r="J45" s="11" t="s">
        <v>26</v>
      </c>
      <c r="K45" s="10">
        <v>18959</v>
      </c>
      <c r="L45" s="30">
        <f t="shared" si="8"/>
        <v>0</v>
      </c>
      <c r="M45" s="43">
        <f t="shared" si="12"/>
        <v>38450</v>
      </c>
      <c r="N45" s="13">
        <v>0.77083333333333337</v>
      </c>
      <c r="O45" s="12">
        <v>18997</v>
      </c>
      <c r="P45" s="23">
        <f t="shared" si="9"/>
        <v>2</v>
      </c>
    </row>
    <row r="46" spans="1:16" x14ac:dyDescent="0.2">
      <c r="A46" s="1" t="s">
        <v>281</v>
      </c>
      <c r="B46" s="2">
        <f>IF(B14&lt;120,B14-120,0)</f>
        <v>0</v>
      </c>
      <c r="C46" s="3">
        <f>B52</f>
        <v>0.479765</v>
      </c>
      <c r="D46" s="3">
        <f t="shared" si="6"/>
        <v>0</v>
      </c>
      <c r="E46" s="38">
        <f t="shared" si="10"/>
        <v>38392</v>
      </c>
      <c r="F46" s="9">
        <v>0.77083333333333337</v>
      </c>
      <c r="G46" s="8">
        <v>18870</v>
      </c>
      <c r="H46" s="75">
        <f t="shared" si="7"/>
        <v>16</v>
      </c>
      <c r="I46" s="41">
        <f t="shared" si="11"/>
        <v>38420</v>
      </c>
      <c r="J46" s="11">
        <v>0.77083333333333337</v>
      </c>
      <c r="K46" s="10">
        <v>18964</v>
      </c>
      <c r="L46" s="30">
        <f t="shared" si="8"/>
        <v>5</v>
      </c>
      <c r="M46" s="43">
        <f t="shared" si="12"/>
        <v>38451</v>
      </c>
      <c r="N46" s="13">
        <v>0.77083333333333337</v>
      </c>
      <c r="O46" s="12">
        <v>18998</v>
      </c>
      <c r="P46" s="23">
        <f t="shared" si="9"/>
        <v>1</v>
      </c>
    </row>
    <row r="47" spans="1:16" x14ac:dyDescent="0.2">
      <c r="E47" s="38">
        <f t="shared" si="10"/>
        <v>38393</v>
      </c>
      <c r="F47" s="9">
        <v>0.77083333333333337</v>
      </c>
      <c r="G47" s="8">
        <v>18876</v>
      </c>
      <c r="H47" s="75">
        <f t="shared" si="7"/>
        <v>6</v>
      </c>
      <c r="I47" s="41">
        <f t="shared" si="11"/>
        <v>38421</v>
      </c>
      <c r="J47" s="11">
        <v>0.77083333333333337</v>
      </c>
      <c r="K47" s="10">
        <v>18968</v>
      </c>
      <c r="L47" s="30">
        <f t="shared" si="8"/>
        <v>4</v>
      </c>
      <c r="M47" s="43">
        <f t="shared" si="12"/>
        <v>38452</v>
      </c>
      <c r="N47" s="13">
        <v>0.77083333333333337</v>
      </c>
      <c r="O47" s="12">
        <v>18999</v>
      </c>
      <c r="P47" s="23">
        <f t="shared" si="9"/>
        <v>1</v>
      </c>
    </row>
    <row r="48" spans="1:16" x14ac:dyDescent="0.2">
      <c r="A48" s="1" t="s">
        <v>96</v>
      </c>
      <c r="B48" s="2"/>
      <c r="C48" s="3"/>
      <c r="D48" s="55">
        <f>(SUM(D34:D37)+SUM(D40:D41)+SUM(D43:D44)+D46)*1.1</f>
        <v>0</v>
      </c>
      <c r="E48" s="38">
        <f t="shared" si="10"/>
        <v>38394</v>
      </c>
      <c r="F48" s="9">
        <v>0.77083333333333337</v>
      </c>
      <c r="G48" s="8">
        <v>18882</v>
      </c>
      <c r="H48" s="75">
        <f t="shared" si="7"/>
        <v>6</v>
      </c>
      <c r="I48" s="41">
        <f t="shared" si="11"/>
        <v>38422</v>
      </c>
      <c r="J48" s="11">
        <v>0.77083333333333337</v>
      </c>
      <c r="K48" s="10">
        <v>18970</v>
      </c>
      <c r="L48" s="30">
        <f t="shared" si="8"/>
        <v>2</v>
      </c>
      <c r="M48" s="43">
        <f t="shared" si="12"/>
        <v>38453</v>
      </c>
      <c r="N48" s="13" t="s">
        <v>25</v>
      </c>
      <c r="O48" s="12">
        <v>18999</v>
      </c>
      <c r="P48" s="23">
        <f t="shared" si="9"/>
        <v>0</v>
      </c>
    </row>
    <row r="49" spans="1:16" x14ac:dyDescent="0.2">
      <c r="A49" s="1" t="s">
        <v>264</v>
      </c>
      <c r="D49" s="55">
        <f ca="1">(SUM(D30:D33)+SUM(D38:D39)+D42+D45)*1.22</f>
        <v>869.20226958904107</v>
      </c>
      <c r="E49" s="38">
        <f t="shared" si="10"/>
        <v>38395</v>
      </c>
      <c r="F49" s="9">
        <v>0.77083333333333337</v>
      </c>
      <c r="G49" s="8">
        <v>18886</v>
      </c>
      <c r="H49" s="75">
        <f t="shared" si="7"/>
        <v>4</v>
      </c>
      <c r="I49" s="41">
        <f t="shared" si="11"/>
        <v>38423</v>
      </c>
      <c r="J49" s="11">
        <v>0.77083333333333337</v>
      </c>
      <c r="K49" s="10">
        <v>18971</v>
      </c>
      <c r="L49" s="30">
        <f t="shared" si="8"/>
        <v>1</v>
      </c>
      <c r="M49" s="43">
        <f t="shared" si="12"/>
        <v>38454</v>
      </c>
      <c r="N49" s="13" t="s">
        <v>26</v>
      </c>
      <c r="O49" s="12">
        <v>18999</v>
      </c>
      <c r="P49" s="23">
        <f t="shared" si="9"/>
        <v>0</v>
      </c>
    </row>
    <row r="50" spans="1:16" x14ac:dyDescent="0.2">
      <c r="A50" s="1"/>
      <c r="B50" s="2"/>
      <c r="C50" s="3"/>
      <c r="D50" s="3"/>
      <c r="E50" s="38">
        <f t="shared" si="10"/>
        <v>38396</v>
      </c>
      <c r="F50" s="9">
        <v>0.77083333333333337</v>
      </c>
      <c r="G50" s="8">
        <v>18892</v>
      </c>
      <c r="H50" s="75">
        <f t="shared" si="7"/>
        <v>6</v>
      </c>
      <c r="I50" s="41">
        <f t="shared" si="11"/>
        <v>38424</v>
      </c>
      <c r="J50" s="11">
        <v>0.77083333333333337</v>
      </c>
      <c r="K50" s="10">
        <v>18973</v>
      </c>
      <c r="L50" s="30">
        <f t="shared" si="8"/>
        <v>2</v>
      </c>
      <c r="M50" s="43">
        <f t="shared" si="12"/>
        <v>38455</v>
      </c>
      <c r="N50" s="13">
        <v>0.77083333333333337</v>
      </c>
      <c r="O50" s="12">
        <v>18999</v>
      </c>
      <c r="P50" s="23">
        <f t="shared" si="9"/>
        <v>0</v>
      </c>
    </row>
    <row r="51" spans="1:16" x14ac:dyDescent="0.2">
      <c r="A51" s="1" t="s">
        <v>23</v>
      </c>
      <c r="B51" s="26">
        <v>0.38074400000000003</v>
      </c>
      <c r="C51" s="65"/>
      <c r="D51" s="26"/>
      <c r="E51" s="38">
        <f t="shared" si="10"/>
        <v>38397</v>
      </c>
      <c r="F51" s="9" t="s">
        <v>25</v>
      </c>
      <c r="G51" s="8">
        <v>18892</v>
      </c>
      <c r="H51" s="75">
        <f t="shared" si="7"/>
        <v>0</v>
      </c>
      <c r="I51" s="41">
        <f t="shared" si="11"/>
        <v>38425</v>
      </c>
      <c r="J51" s="11" t="s">
        <v>25</v>
      </c>
      <c r="K51" s="10">
        <v>18973</v>
      </c>
      <c r="L51" s="30">
        <f t="shared" si="8"/>
        <v>0</v>
      </c>
      <c r="M51" s="43">
        <f t="shared" si="12"/>
        <v>38456</v>
      </c>
      <c r="N51" s="13">
        <v>0.77083333333333337</v>
      </c>
      <c r="O51" s="12">
        <v>18999</v>
      </c>
      <c r="P51" s="23">
        <f t="shared" si="9"/>
        <v>0</v>
      </c>
    </row>
    <row r="52" spans="1:16" x14ac:dyDescent="0.2">
      <c r="A52" s="1" t="s">
        <v>16</v>
      </c>
      <c r="B52" s="26">
        <v>0.479765</v>
      </c>
      <c r="C52" s="65"/>
      <c r="D52" s="3"/>
      <c r="E52" s="38">
        <f t="shared" si="10"/>
        <v>38398</v>
      </c>
      <c r="F52" s="9" t="s">
        <v>26</v>
      </c>
      <c r="G52" s="8">
        <v>18892</v>
      </c>
      <c r="H52" s="75">
        <f t="shared" si="7"/>
        <v>0</v>
      </c>
      <c r="I52" s="41">
        <f t="shared" si="11"/>
        <v>38426</v>
      </c>
      <c r="J52" s="11" t="s">
        <v>26</v>
      </c>
      <c r="K52" s="10">
        <v>18973</v>
      </c>
      <c r="L52" s="30">
        <f t="shared" si="8"/>
        <v>0</v>
      </c>
      <c r="M52" s="43">
        <f t="shared" si="12"/>
        <v>38457</v>
      </c>
      <c r="N52" s="13">
        <v>0.77083333333333337</v>
      </c>
      <c r="O52" s="12"/>
      <c r="P52" s="23" t="str">
        <f t="shared" si="9"/>
        <v/>
      </c>
    </row>
    <row r="53" spans="1:16" x14ac:dyDescent="0.2">
      <c r="A53" s="1" t="s">
        <v>18</v>
      </c>
      <c r="B53" s="26">
        <v>0.45866099999999999</v>
      </c>
      <c r="C53" s="65"/>
      <c r="D53" s="3"/>
      <c r="E53" s="38">
        <f t="shared" si="10"/>
        <v>38399</v>
      </c>
      <c r="F53" s="9">
        <v>0.77083333333333337</v>
      </c>
      <c r="G53" s="8">
        <v>18901</v>
      </c>
      <c r="H53" s="75">
        <f t="shared" si="7"/>
        <v>9</v>
      </c>
      <c r="I53" s="41">
        <f t="shared" si="11"/>
        <v>38427</v>
      </c>
      <c r="J53" s="11">
        <v>0.77083333333333337</v>
      </c>
      <c r="K53" s="10">
        <v>18977</v>
      </c>
      <c r="L53" s="30">
        <f t="shared" si="8"/>
        <v>4</v>
      </c>
      <c r="M53" s="43">
        <f t="shared" si="12"/>
        <v>38458</v>
      </c>
      <c r="N53" s="13">
        <v>0.77083333333333337</v>
      </c>
      <c r="O53" s="12"/>
      <c r="P53" s="23" t="str">
        <f t="shared" si="9"/>
        <v/>
      </c>
    </row>
    <row r="54" spans="1:16" x14ac:dyDescent="0.2">
      <c r="A54" s="1"/>
      <c r="B54" s="2"/>
      <c r="C54" s="3"/>
      <c r="D54" s="3"/>
      <c r="E54" s="38">
        <f t="shared" si="10"/>
        <v>38400</v>
      </c>
      <c r="F54" s="9">
        <v>0.77083333333333337</v>
      </c>
      <c r="G54" s="8">
        <v>18906</v>
      </c>
      <c r="H54" s="75">
        <f t="shared" si="7"/>
        <v>5</v>
      </c>
      <c r="I54" s="41">
        <f t="shared" si="11"/>
        <v>38428</v>
      </c>
      <c r="J54" s="11">
        <v>0.77083333333333337</v>
      </c>
      <c r="K54" s="10">
        <v>18980</v>
      </c>
      <c r="L54" s="30">
        <f t="shared" si="8"/>
        <v>3</v>
      </c>
      <c r="M54" s="43">
        <f t="shared" si="12"/>
        <v>38459</v>
      </c>
      <c r="N54" s="13">
        <v>0.77083333333333337</v>
      </c>
      <c r="O54" s="12"/>
      <c r="P54" s="23" t="str">
        <f t="shared" si="9"/>
        <v/>
      </c>
    </row>
    <row r="55" spans="1:16" x14ac:dyDescent="0.2">
      <c r="A55" s="1" t="s">
        <v>201</v>
      </c>
      <c r="B55" s="26">
        <v>4.3999999999999997E-2</v>
      </c>
      <c r="C55" s="3"/>
      <c r="D55" s="3"/>
      <c r="E55" s="38">
        <f t="shared" si="10"/>
        <v>38401</v>
      </c>
      <c r="F55" s="9">
        <v>0.77083333333333337</v>
      </c>
      <c r="G55" s="8">
        <v>18910</v>
      </c>
      <c r="H55" s="75">
        <f t="shared" si="7"/>
        <v>4</v>
      </c>
      <c r="I55" s="41">
        <f t="shared" si="11"/>
        <v>38429</v>
      </c>
      <c r="J55" s="11">
        <v>0.77083333333333337</v>
      </c>
      <c r="K55" s="10">
        <v>18983</v>
      </c>
      <c r="L55" s="30">
        <f t="shared" si="8"/>
        <v>3</v>
      </c>
      <c r="M55" s="43">
        <f t="shared" si="12"/>
        <v>38460</v>
      </c>
      <c r="N55" s="13" t="s">
        <v>25</v>
      </c>
      <c r="O55" s="12"/>
      <c r="P55" s="23" t="str">
        <f t="shared" si="9"/>
        <v/>
      </c>
    </row>
    <row r="56" spans="1:16" x14ac:dyDescent="0.2">
      <c r="A56" s="1" t="s">
        <v>202</v>
      </c>
      <c r="B56" s="26">
        <v>0.17499999999999999</v>
      </c>
      <c r="C56" s="3"/>
      <c r="D56" s="3"/>
      <c r="E56" s="38">
        <f t="shared" si="10"/>
        <v>38402</v>
      </c>
      <c r="F56" s="9">
        <v>0.77083333333333337</v>
      </c>
      <c r="G56" s="8">
        <v>18915</v>
      </c>
      <c r="H56" s="75">
        <f t="shared" si="7"/>
        <v>5</v>
      </c>
      <c r="I56" s="41">
        <f t="shared" si="11"/>
        <v>38430</v>
      </c>
      <c r="J56" s="11">
        <v>0.77083333333333337</v>
      </c>
      <c r="K56" s="10">
        <v>18984</v>
      </c>
      <c r="L56" s="30">
        <f t="shared" si="8"/>
        <v>1</v>
      </c>
      <c r="M56" s="43">
        <f t="shared" si="12"/>
        <v>38461</v>
      </c>
      <c r="N56" s="13" t="s">
        <v>26</v>
      </c>
      <c r="O56" s="12"/>
      <c r="P56" s="23" t="str">
        <f t="shared" si="9"/>
        <v/>
      </c>
    </row>
    <row r="57" spans="1:16" x14ac:dyDescent="0.2">
      <c r="A57" s="1" t="s">
        <v>203</v>
      </c>
      <c r="B57" s="26">
        <v>0.17</v>
      </c>
      <c r="C57" s="3"/>
      <c r="D57" s="3"/>
      <c r="E57" s="38">
        <f t="shared" si="10"/>
        <v>38403</v>
      </c>
      <c r="F57" s="9">
        <v>0.77083333333333337</v>
      </c>
      <c r="G57" s="8">
        <v>18919</v>
      </c>
      <c r="H57" s="75">
        <f t="shared" si="7"/>
        <v>4</v>
      </c>
      <c r="I57" s="41">
        <f t="shared" si="11"/>
        <v>38431</v>
      </c>
      <c r="J57" s="11">
        <v>0.77083333333333337</v>
      </c>
      <c r="K57" s="10">
        <v>18985</v>
      </c>
      <c r="L57" s="30">
        <f t="shared" si="8"/>
        <v>1</v>
      </c>
      <c r="M57" s="43">
        <f t="shared" si="12"/>
        <v>38462</v>
      </c>
      <c r="N57" s="13">
        <v>0.77083333333333337</v>
      </c>
      <c r="O57" s="12"/>
      <c r="P57" s="23" t="str">
        <f t="shared" si="9"/>
        <v/>
      </c>
    </row>
    <row r="58" spans="1:16" x14ac:dyDescent="0.2">
      <c r="A58" s="1"/>
      <c r="B58" s="2"/>
      <c r="C58" s="3"/>
      <c r="D58" s="3"/>
      <c r="E58" s="38">
        <f t="shared" si="10"/>
        <v>38404</v>
      </c>
      <c r="F58" s="9" t="s">
        <v>25</v>
      </c>
      <c r="G58" s="8">
        <v>18919</v>
      </c>
      <c r="H58" s="75">
        <f t="shared" si="7"/>
        <v>0</v>
      </c>
      <c r="I58" s="41">
        <f t="shared" si="11"/>
        <v>38432</v>
      </c>
      <c r="J58" s="11" t="s">
        <v>25</v>
      </c>
      <c r="K58" s="10">
        <v>18985</v>
      </c>
      <c r="L58" s="30">
        <f t="shared" si="8"/>
        <v>0</v>
      </c>
      <c r="M58" s="43">
        <f t="shared" si="12"/>
        <v>38463</v>
      </c>
      <c r="N58" s="13">
        <v>0.77083333333333337</v>
      </c>
      <c r="O58" s="12"/>
      <c r="P58" s="23" t="str">
        <f t="shared" si="9"/>
        <v/>
      </c>
    </row>
    <row r="59" spans="1:16" x14ac:dyDescent="0.2">
      <c r="A59" s="1" t="s">
        <v>90</v>
      </c>
      <c r="B59" s="26">
        <v>59.27</v>
      </c>
      <c r="C59" s="3" t="s">
        <v>86</v>
      </c>
      <c r="D59" s="3"/>
      <c r="E59" s="38">
        <f t="shared" si="10"/>
        <v>38405</v>
      </c>
      <c r="F59" s="9" t="s">
        <v>26</v>
      </c>
      <c r="G59" s="8">
        <v>18919</v>
      </c>
      <c r="H59" s="75">
        <f t="shared" si="7"/>
        <v>0</v>
      </c>
      <c r="I59" s="41">
        <f t="shared" si="11"/>
        <v>38433</v>
      </c>
      <c r="J59" s="11" t="s">
        <v>26</v>
      </c>
      <c r="K59" s="10">
        <v>18985</v>
      </c>
      <c r="L59" s="30">
        <f t="shared" si="8"/>
        <v>0</v>
      </c>
      <c r="M59" s="43">
        <f t="shared" si="12"/>
        <v>38464</v>
      </c>
      <c r="N59" s="13">
        <v>0.77083333333333337</v>
      </c>
      <c r="O59" s="12"/>
      <c r="P59" s="23" t="str">
        <f t="shared" si="9"/>
        <v/>
      </c>
    </row>
    <row r="60" spans="1:16" x14ac:dyDescent="0.2">
      <c r="A60" s="1" t="s">
        <v>54</v>
      </c>
      <c r="B60" s="26">
        <v>57.35</v>
      </c>
      <c r="C60" s="3" t="s">
        <v>86</v>
      </c>
      <c r="D60" s="3"/>
      <c r="E60" s="38">
        <f t="shared" si="10"/>
        <v>38406</v>
      </c>
      <c r="F60" s="9">
        <v>0.77083333333333337</v>
      </c>
      <c r="G60" s="8">
        <v>18927</v>
      </c>
      <c r="H60" s="75">
        <f t="shared" si="7"/>
        <v>8</v>
      </c>
      <c r="I60" s="41">
        <f t="shared" si="11"/>
        <v>38434</v>
      </c>
      <c r="J60" s="11">
        <v>0.77083333333333337</v>
      </c>
      <c r="K60" s="10">
        <v>18987</v>
      </c>
      <c r="L60" s="30">
        <f t="shared" si="8"/>
        <v>2</v>
      </c>
      <c r="M60" s="43">
        <f t="shared" si="12"/>
        <v>38465</v>
      </c>
      <c r="N60" s="13">
        <v>0.77083333333333337</v>
      </c>
      <c r="O60" s="12"/>
      <c r="P60" s="23" t="str">
        <f t="shared" si="9"/>
        <v/>
      </c>
    </row>
    <row r="61" spans="1:16" x14ac:dyDescent="0.2">
      <c r="A61" s="1" t="s">
        <v>89</v>
      </c>
      <c r="B61" s="26">
        <v>-27.01</v>
      </c>
      <c r="C61" s="3" t="s">
        <v>86</v>
      </c>
      <c r="D61" s="3"/>
      <c r="E61" s="38">
        <f t="shared" si="10"/>
        <v>38407</v>
      </c>
      <c r="F61" s="9">
        <v>0.77083333333333337</v>
      </c>
      <c r="G61" s="8">
        <v>18932</v>
      </c>
      <c r="H61" s="75">
        <f t="shared" si="7"/>
        <v>5</v>
      </c>
      <c r="I61" s="41">
        <f t="shared" si="11"/>
        <v>38435</v>
      </c>
      <c r="J61" s="11">
        <v>0.77083333333333337</v>
      </c>
      <c r="K61" s="10">
        <v>18989</v>
      </c>
      <c r="L61" s="30">
        <f t="shared" si="8"/>
        <v>2</v>
      </c>
      <c r="M61" s="43">
        <f t="shared" si="12"/>
        <v>38466</v>
      </c>
      <c r="N61" s="13">
        <v>0.77083333333333337</v>
      </c>
      <c r="O61" s="12"/>
      <c r="P61" s="23" t="str">
        <f t="shared" si="9"/>
        <v/>
      </c>
    </row>
    <row r="62" spans="1:16" x14ac:dyDescent="0.2">
      <c r="A62" s="1" t="s">
        <v>91</v>
      </c>
      <c r="B62" s="26">
        <v>0</v>
      </c>
      <c r="C62" s="3" t="s">
        <v>86</v>
      </c>
      <c r="D62" s="3"/>
      <c r="E62" s="38">
        <f t="shared" si="10"/>
        <v>38408</v>
      </c>
      <c r="F62" s="9">
        <v>0.77083333333333337</v>
      </c>
      <c r="G62" s="8">
        <v>18936</v>
      </c>
      <c r="H62" s="75">
        <f t="shared" si="7"/>
        <v>4</v>
      </c>
      <c r="I62" s="41">
        <f t="shared" si="11"/>
        <v>38436</v>
      </c>
      <c r="J62" s="11">
        <v>0.77083333333333337</v>
      </c>
      <c r="K62" s="10">
        <v>18991</v>
      </c>
      <c r="L62" s="30">
        <f t="shared" si="8"/>
        <v>2</v>
      </c>
      <c r="M62" s="43">
        <f t="shared" si="12"/>
        <v>38467</v>
      </c>
      <c r="N62" s="13" t="s">
        <v>25</v>
      </c>
      <c r="O62" s="12"/>
      <c r="P62" s="23" t="str">
        <f t="shared" si="9"/>
        <v/>
      </c>
    </row>
    <row r="63" spans="1:16" x14ac:dyDescent="0.2">
      <c r="A63" s="1"/>
      <c r="B63" s="2"/>
      <c r="C63" s="3"/>
      <c r="D63" s="3"/>
      <c r="E63" s="38">
        <v>38774</v>
      </c>
      <c r="F63" s="9">
        <v>0.77083333333333337</v>
      </c>
      <c r="G63" s="8">
        <v>18939</v>
      </c>
      <c r="H63" s="75">
        <f>IF(AND(H62&lt;&gt;"",G63&lt;&gt;""),G63-G62,"")</f>
        <v>3</v>
      </c>
      <c r="I63" s="41">
        <v>38802</v>
      </c>
      <c r="J63" s="11">
        <v>0.77083333333333337</v>
      </c>
      <c r="K63" s="10">
        <v>18992</v>
      </c>
      <c r="L63" s="30">
        <f t="shared" si="8"/>
        <v>1</v>
      </c>
      <c r="M63" s="43">
        <f t="shared" si="12"/>
        <v>38468</v>
      </c>
      <c r="N63" s="13" t="s">
        <v>26</v>
      </c>
      <c r="O63" s="12"/>
      <c r="P63" s="23" t="str">
        <f t="shared" si="9"/>
        <v/>
      </c>
    </row>
    <row r="64" spans="1:16" x14ac:dyDescent="0.2">
      <c r="A64" s="1" t="s">
        <v>100</v>
      </c>
      <c r="B64" s="71">
        <f>SUM(B59:B62)</f>
        <v>89.61</v>
      </c>
      <c r="C64" s="3" t="s">
        <v>86</v>
      </c>
      <c r="E64" s="38">
        <v>38775</v>
      </c>
      <c r="F64" s="9">
        <v>0.77083333333333337</v>
      </c>
      <c r="G64" s="8">
        <v>18943</v>
      </c>
      <c r="H64" s="75">
        <f>IF(AND(H63&lt;&gt;"",G64&lt;&gt;""),G64-G63,"")</f>
        <v>4</v>
      </c>
      <c r="I64" s="41">
        <v>38803</v>
      </c>
      <c r="J64" s="11">
        <v>0.77083333333333337</v>
      </c>
      <c r="K64" s="10">
        <v>18993</v>
      </c>
      <c r="L64" s="30">
        <f t="shared" si="8"/>
        <v>1</v>
      </c>
      <c r="M64" s="43">
        <f t="shared" si="12"/>
        <v>38469</v>
      </c>
      <c r="N64" s="13">
        <v>0.77083333333333337</v>
      </c>
      <c r="O64" s="12"/>
      <c r="P64" s="23" t="str">
        <f t="shared" si="9"/>
        <v/>
      </c>
    </row>
    <row r="65" spans="1:16" x14ac:dyDescent="0.2">
      <c r="A65" s="1" t="s">
        <v>194</v>
      </c>
      <c r="B65" s="102">
        <v>1.0213190000000001</v>
      </c>
      <c r="E65" s="38">
        <v>38776</v>
      </c>
      <c r="F65" s="9" t="s">
        <v>25</v>
      </c>
      <c r="G65" s="8">
        <v>18943</v>
      </c>
      <c r="H65" s="75">
        <f>IF(AND(H64&lt;&gt;"",G65&lt;&gt;""),G65-G64,"")</f>
        <v>0</v>
      </c>
      <c r="I65" s="41">
        <v>38804</v>
      </c>
      <c r="J65" s="11" t="s">
        <v>25</v>
      </c>
      <c r="K65" s="10">
        <v>18993</v>
      </c>
      <c r="L65" s="30">
        <f t="shared" si="8"/>
        <v>0</v>
      </c>
      <c r="M65" s="43">
        <f t="shared" si="12"/>
        <v>38470</v>
      </c>
      <c r="N65" s="13">
        <v>0.77083333333333337</v>
      </c>
      <c r="O65" s="12"/>
      <c r="P65" s="23" t="str">
        <f t="shared" si="9"/>
        <v/>
      </c>
    </row>
    <row r="66" spans="1:16" x14ac:dyDescent="0.2">
      <c r="E66" s="38"/>
      <c r="F66" s="9"/>
      <c r="G66" s="8"/>
      <c r="H66" s="75" t="str">
        <f>IF(AND(H65&lt;&gt;"",G66&lt;&gt;""),G66-G65,"")</f>
        <v/>
      </c>
      <c r="I66" s="41">
        <v>38805</v>
      </c>
      <c r="J66" s="11" t="s">
        <v>26</v>
      </c>
      <c r="K66" s="10">
        <v>18993</v>
      </c>
      <c r="L66" s="30">
        <f t="shared" si="8"/>
        <v>0</v>
      </c>
      <c r="M66" s="43">
        <f t="shared" si="12"/>
        <v>38471</v>
      </c>
      <c r="N66" s="13">
        <v>0.77083333333333337</v>
      </c>
      <c r="O66" s="12"/>
      <c r="P66" s="23" t="str">
        <f t="shared" si="9"/>
        <v/>
      </c>
    </row>
    <row r="67" spans="1:16" x14ac:dyDescent="0.2">
      <c r="A67" s="72" t="s">
        <v>24</v>
      </c>
      <c r="B67" s="55">
        <f ca="1">B2</f>
        <v>869.20226958904107</v>
      </c>
      <c r="E67" s="38"/>
      <c r="F67" s="8"/>
      <c r="G67" s="8"/>
      <c r="H67" s="75" t="str">
        <f>IF(AND(H61&lt;&gt;"",G67&lt;&gt;""),G67-G61,"")</f>
        <v/>
      </c>
      <c r="I67" s="41">
        <v>38806</v>
      </c>
      <c r="J67" s="11">
        <v>0.77083333333333337</v>
      </c>
      <c r="K67" s="10">
        <v>18994</v>
      </c>
      <c r="L67" s="30">
        <f t="shared" si="8"/>
        <v>1</v>
      </c>
      <c r="M67" s="43">
        <f t="shared" si="12"/>
        <v>38472</v>
      </c>
      <c r="N67" s="13">
        <v>0.77083333333333337</v>
      </c>
      <c r="O67" s="12"/>
      <c r="P67" s="23" t="str">
        <f t="shared" si="9"/>
        <v/>
      </c>
    </row>
    <row r="68" spans="1:16" x14ac:dyDescent="0.2">
      <c r="A68" s="1"/>
      <c r="B68" s="2"/>
      <c r="C68" s="3"/>
      <c r="D68" s="3"/>
      <c r="E68" s="38"/>
      <c r="F68" s="8"/>
      <c r="G68" s="8"/>
      <c r="H68" s="75" t="str">
        <f>IF(AND(H62&lt;&gt;"",G68&lt;&gt;""),G68-G62,"")</f>
        <v/>
      </c>
      <c r="I68" s="41">
        <v>38807</v>
      </c>
      <c r="J68" s="11">
        <v>0.77083333333333337</v>
      </c>
      <c r="K68" s="10">
        <v>18994</v>
      </c>
      <c r="L68" s="30">
        <f t="shared" si="8"/>
        <v>0</v>
      </c>
      <c r="M68" s="43"/>
      <c r="N68" s="12"/>
      <c r="O68" s="12"/>
      <c r="P68" s="23" t="str">
        <f>IF(AND(P62&lt;&gt;"",O68&lt;&gt;""),O68-O62,"")</f>
        <v/>
      </c>
    </row>
    <row r="69" spans="1:16" ht="13.5" thickBot="1" x14ac:dyDescent="0.25">
      <c r="A69" s="1"/>
      <c r="B69" s="2"/>
      <c r="C69" s="3"/>
      <c r="D69" s="3"/>
      <c r="E69" s="39"/>
      <c r="F69" s="25"/>
      <c r="G69" s="16"/>
      <c r="H69" s="77" t="str">
        <f>IF(AND(H68&lt;&gt;"",G69&lt;&gt;""),G69-G68,"")</f>
        <v/>
      </c>
      <c r="I69" s="42"/>
      <c r="J69" s="28"/>
      <c r="K69" s="17"/>
      <c r="L69" s="31" t="str">
        <f t="shared" si="8"/>
        <v/>
      </c>
      <c r="M69" s="44"/>
      <c r="N69" s="18"/>
      <c r="O69" s="18"/>
      <c r="P69" s="24" t="str">
        <f>IF(AND(P68&lt;&gt;"",O69&lt;&gt;""),O69-O68,"")</f>
        <v/>
      </c>
    </row>
    <row r="70" spans="1:16" ht="13.5" thickTop="1" x14ac:dyDescent="0.2"/>
  </sheetData>
  <mergeCells count="5">
    <mergeCell ref="C5:D5"/>
    <mergeCell ref="C6:D6"/>
    <mergeCell ref="C7:D7"/>
    <mergeCell ref="C8:D8"/>
    <mergeCell ref="C9:D9"/>
  </mergeCells>
  <conditionalFormatting sqref="P4">
    <cfRule type="cellIs" dxfId="40" priority="8" stopIfTrue="1" operator="lessThan">
      <formula>0</formula>
    </cfRule>
    <cfRule type="cellIs" dxfId="39" priority="9" stopIfTrue="1" operator="lessThan">
      <formula>0</formula>
    </cfRule>
  </conditionalFormatting>
  <conditionalFormatting sqref="L38">
    <cfRule type="cellIs" dxfId="38" priority="7" stopIfTrue="1" operator="lessThan">
      <formula>0</formula>
    </cfRule>
  </conditionalFormatting>
  <conditionalFormatting sqref="H38">
    <cfRule type="cellIs" dxfId="37" priority="6" stopIfTrue="1" operator="lessThan">
      <formula>0</formula>
    </cfRule>
  </conditionalFormatting>
  <conditionalFormatting sqref="P38">
    <cfRule type="cellIs" dxfId="36" priority="5" stopIfTrue="1" operator="lessThan">
      <formula>0</formula>
    </cfRule>
  </conditionalFormatting>
  <conditionalFormatting sqref="B28">
    <cfRule type="cellIs" dxfId="35" priority="4" stopIfTrue="1" operator="greaterThan">
      <formula>366</formula>
    </cfRule>
  </conditionalFormatting>
  <conditionalFormatting sqref="B30:B33">
    <cfRule type="cellIs" dxfId="34" priority="2" stopIfTrue="1" operator="greaterThan">
      <formula>366</formula>
    </cfRule>
    <cfRule type="cellIs" dxfId="33" priority="3" stopIfTrue="1" operator="greaterThan">
      <formula>40472</formula>
    </cfRule>
  </conditionalFormatting>
  <conditionalFormatting sqref="B2">
    <cfRule type="containsText" dxfId="32" priority="1" stopIfTrue="1" operator="containsText" text="#VALORE!">
      <formula>NOT(ISERROR(SEARCH("#VALORE!",B2)))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2223</vt:lpstr>
      <vt:lpstr>2122</vt:lpstr>
      <vt:lpstr>2021</vt:lpstr>
      <vt:lpstr>1920</vt:lpstr>
      <vt:lpstr>1819</vt:lpstr>
      <vt:lpstr>1718</vt:lpstr>
      <vt:lpstr>1617</vt:lpstr>
      <vt:lpstr>1516</vt:lpstr>
      <vt:lpstr>1415</vt:lpstr>
      <vt:lpstr>1314</vt:lpstr>
      <vt:lpstr>1213</vt:lpstr>
      <vt:lpstr>1112</vt:lpstr>
      <vt:lpstr>1011</vt:lpstr>
      <vt:lpstr>0910</vt:lpstr>
      <vt:lpstr>0809</vt:lpstr>
      <vt:lpstr>0708</vt:lpstr>
      <vt:lpstr>0607</vt:lpstr>
      <vt:lpstr>0506</vt:lpstr>
      <vt:lpstr>0405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Negozio</dc:creator>
  <cp:lastModifiedBy>King's Bishop</cp:lastModifiedBy>
  <dcterms:created xsi:type="dcterms:W3CDTF">2005-01-07T09:21:49Z</dcterms:created>
  <dcterms:modified xsi:type="dcterms:W3CDTF">2023-04-04T16:32:40Z</dcterms:modified>
</cp:coreProperties>
</file>